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vaccaro/Desktop/11 Jun 20 Test/Trim Shots/"/>
    </mc:Choice>
  </mc:AlternateContent>
  <xr:revisionPtr revIDLastSave="0" documentId="13_ncr:1_{60AD607B-CA52-2A43-8A2C-E5650D395236}" xr6:coauthVersionLast="45" xr6:coauthVersionMax="45" xr10:uidLastSave="{00000000-0000-0000-0000-000000000000}"/>
  <bookViews>
    <workbookView xWindow="0" yWindow="460" windowWidth="25600" windowHeight="14260" xr2:uid="{00000000-000D-0000-FFFF-FFFF00000000}"/>
  </bookViews>
  <sheets>
    <sheet name="Static system calibration" sheetId="1" r:id="rId1"/>
    <sheet name="Notes" sheetId="2" r:id="rId2"/>
  </sheets>
  <definedNames>
    <definedName name="as0">'Static system calibration'!$B$6</definedName>
    <definedName name="dHic">'Static system calibration'!$AD$21:$AD$42</definedName>
    <definedName name="dHpc">'Static system calibration'!$AU$21:$AU$42</definedName>
    <definedName name="dPp_over_Ps">'Static system calibration'!$AP$21:$AP$42</definedName>
    <definedName name="dVic">'Static system calibration'!$Z$21:$Z$42</definedName>
    <definedName name="dVpc">'Static system calibration'!#REF!</definedName>
    <definedName name="factor_for_GPS">'Static system calibration'!$B$11</definedName>
    <definedName name="factor_for_IAS">'Static system calibration'!$B$9</definedName>
    <definedName name="GPS_units">'Static system calibration'!$B$10</definedName>
    <definedName name="H_std_altitude">'Static system calibration'!$B$13</definedName>
    <definedName name="Hc">'Static system calibration'!$AR$21:$AR$42</definedName>
    <definedName name="Hi">'Static system calibration'!$AC$21:$AC$42</definedName>
    <definedName name="Hic">'Static system calibration'!$AE$21:$AE$42</definedName>
    <definedName name="IAS_units">'Static system calibration'!$B$8</definedName>
    <definedName name="K">'Static system calibration'!$B$7</definedName>
    <definedName name="M">'Static system calibration'!$AL$21:$AL$42</definedName>
    <definedName name="Mic">'Static system calibration'!$AO$21:$AO$42</definedName>
    <definedName name="P_0">'Static system calibration'!$B$4</definedName>
    <definedName name="qcic_over_Ps">'Static system calibration'!$AN$21:$AN$42</definedName>
    <definedName name="qcic_over_Psl">'Static system calibration'!$AM$21:$AM$42</definedName>
    <definedName name="T_0">'Static system calibration'!$B$5</definedName>
    <definedName name="Ta">'Static system calibration'!$AK$21:$AK$42</definedName>
    <definedName name="temp_units">'Static system calibration'!$B$12</definedName>
    <definedName name="Ti">'Static system calibration'!$AF$21:$AF$42</definedName>
    <definedName name="Vi">'Static system calibration'!$Y$21:$Y$42</definedName>
    <definedName name="Vic">'Static system calibration'!$AB$21:$AB$42</definedName>
    <definedName name="Vt">'Static system calibration'!$AG$21:$AG$42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1" l="1"/>
  <c r="L29" i="1"/>
  <c r="P29" i="1" s="1"/>
  <c r="K29" i="1"/>
  <c r="J29" i="1"/>
  <c r="N29" i="1" s="1"/>
  <c r="I29" i="1"/>
  <c r="H29" i="1"/>
  <c r="M28" i="1"/>
  <c r="L28" i="1"/>
  <c r="P28" i="1" s="1"/>
  <c r="K28" i="1"/>
  <c r="J28" i="1"/>
  <c r="N28" i="1" s="1"/>
  <c r="I28" i="1"/>
  <c r="H28" i="1"/>
  <c r="M27" i="1"/>
  <c r="L27" i="1"/>
  <c r="P27" i="1" s="1"/>
  <c r="K27" i="1"/>
  <c r="J27" i="1"/>
  <c r="N27" i="1" s="1"/>
  <c r="I27" i="1"/>
  <c r="H27" i="1"/>
  <c r="M26" i="1"/>
  <c r="L26" i="1"/>
  <c r="P26" i="1" s="1"/>
  <c r="K26" i="1"/>
  <c r="J26" i="1"/>
  <c r="N26" i="1" s="1"/>
  <c r="I26" i="1"/>
  <c r="O26" i="1" s="1"/>
  <c r="H26" i="1"/>
  <c r="M25" i="1"/>
  <c r="L25" i="1"/>
  <c r="P25" i="1" s="1"/>
  <c r="K25" i="1"/>
  <c r="J25" i="1"/>
  <c r="N25" i="1" s="1"/>
  <c r="I25" i="1"/>
  <c r="H25" i="1"/>
  <c r="M24" i="1"/>
  <c r="L24" i="1"/>
  <c r="P24" i="1" s="1"/>
  <c r="K24" i="1"/>
  <c r="J24" i="1"/>
  <c r="N24" i="1" s="1"/>
  <c r="I24" i="1"/>
  <c r="H24" i="1"/>
  <c r="M23" i="1"/>
  <c r="L23" i="1"/>
  <c r="P23" i="1" s="1"/>
  <c r="K23" i="1"/>
  <c r="J23" i="1"/>
  <c r="N23" i="1" s="1"/>
  <c r="I23" i="1"/>
  <c r="H23" i="1"/>
  <c r="M22" i="1"/>
  <c r="L22" i="1"/>
  <c r="P22" i="1" s="1"/>
  <c r="K22" i="1"/>
  <c r="J22" i="1"/>
  <c r="N22" i="1" s="1"/>
  <c r="I22" i="1"/>
  <c r="O22" i="1" s="1"/>
  <c r="H22" i="1"/>
  <c r="M21" i="1"/>
  <c r="L21" i="1"/>
  <c r="P21" i="1" s="1"/>
  <c r="K21" i="1"/>
  <c r="J21" i="1"/>
  <c r="N21" i="1" s="1"/>
  <c r="I21" i="1"/>
  <c r="H21" i="1"/>
  <c r="Q24" i="1" l="1"/>
  <c r="Q28" i="1"/>
  <c r="O21" i="1"/>
  <c r="Q23" i="1"/>
  <c r="O25" i="1"/>
  <c r="Q27" i="1"/>
  <c r="O29" i="1"/>
  <c r="Q21" i="1"/>
  <c r="O23" i="1"/>
  <c r="Q25" i="1"/>
  <c r="O27" i="1"/>
  <c r="R27" i="1" s="1"/>
  <c r="Q29" i="1"/>
  <c r="Q22" i="1"/>
  <c r="R22" i="1" s="1"/>
  <c r="O24" i="1"/>
  <c r="R24" i="1" s="1"/>
  <c r="Q26" i="1"/>
  <c r="R26" i="1" s="1"/>
  <c r="O28" i="1"/>
  <c r="R28" i="1" s="1"/>
  <c r="S28" i="1" s="1"/>
  <c r="S26" i="1" l="1"/>
  <c r="U26" i="1" s="1"/>
  <c r="X28" i="1"/>
  <c r="W28" i="1"/>
  <c r="V28" i="1"/>
  <c r="S22" i="1"/>
  <c r="U28" i="1"/>
  <c r="T27" i="1"/>
  <c r="R21" i="1"/>
  <c r="S27" i="1"/>
  <c r="U27" i="1"/>
  <c r="T28" i="1"/>
  <c r="R29" i="1"/>
  <c r="R23" i="1"/>
  <c r="R25" i="1"/>
  <c r="S24" i="1"/>
  <c r="T24" i="1" s="1"/>
  <c r="T21" i="1" l="1"/>
  <c r="S21" i="1"/>
  <c r="U21" i="1" s="1"/>
  <c r="W22" i="1"/>
  <c r="V22" i="1"/>
  <c r="X22" i="1"/>
  <c r="S25" i="1"/>
  <c r="U25" i="1"/>
  <c r="T22" i="1"/>
  <c r="S23" i="1"/>
  <c r="U23" i="1"/>
  <c r="X24" i="1"/>
  <c r="W24" i="1"/>
  <c r="V24" i="1"/>
  <c r="U24" i="1"/>
  <c r="W26" i="1"/>
  <c r="V26" i="1"/>
  <c r="X26" i="1"/>
  <c r="T29" i="1"/>
  <c r="U29" i="1"/>
  <c r="S29" i="1"/>
  <c r="V27" i="1"/>
  <c r="X27" i="1"/>
  <c r="W27" i="1"/>
  <c r="U22" i="1"/>
  <c r="T26" i="1"/>
  <c r="AA29" i="1"/>
  <c r="AA28" i="1"/>
  <c r="AA27" i="1"/>
  <c r="AA26" i="1"/>
  <c r="AA25" i="1"/>
  <c r="AA24" i="1"/>
  <c r="V23" i="1" l="1"/>
  <c r="X23" i="1"/>
  <c r="W23" i="1"/>
  <c r="X25" i="1"/>
  <c r="W25" i="1"/>
  <c r="V25" i="1"/>
  <c r="X29" i="1"/>
  <c r="W29" i="1"/>
  <c r="V29" i="1"/>
  <c r="T23" i="1"/>
  <c r="T25" i="1"/>
  <c r="X21" i="1"/>
  <c r="W21" i="1"/>
  <c r="V21" i="1"/>
  <c r="AJ40" i="1"/>
  <c r="AA21" i="1" l="1"/>
  <c r="AA22" i="1"/>
  <c r="AA23" i="1"/>
  <c r="B9" i="1"/>
  <c r="AM40" i="1" s="1"/>
  <c r="AN40" i="1" s="1"/>
  <c r="AO40" i="1" s="1"/>
  <c r="B11" i="1"/>
  <c r="AI40" i="1" s="1"/>
  <c r="B19" i="1"/>
  <c r="D19" i="1"/>
  <c r="F19" i="1"/>
  <c r="T19" i="1"/>
  <c r="U19" i="1"/>
  <c r="Y19" i="1"/>
  <c r="Z19" i="1"/>
  <c r="AA19" i="1"/>
  <c r="AF19" i="1"/>
  <c r="AH19" i="1"/>
  <c r="AS19" i="1"/>
  <c r="AT19" i="1"/>
  <c r="AV19" i="1"/>
  <c r="AG40" i="1" l="1"/>
  <c r="AK40" i="1" s="1"/>
  <c r="AL40" i="1" s="1"/>
  <c r="AP40" i="1" s="1"/>
  <c r="AW40" i="1" s="1"/>
  <c r="AM37" i="1"/>
  <c r="AN37" i="1" s="1"/>
  <c r="AO37" i="1" s="1"/>
  <c r="AM42" i="1"/>
  <c r="AN42" i="1" s="1"/>
  <c r="AO42" i="1" s="1"/>
  <c r="AH40" i="1"/>
  <c r="AB26" i="1"/>
  <c r="AM26" i="1" s="1"/>
  <c r="AN26" i="1" s="1"/>
  <c r="AO26" i="1" s="1"/>
  <c r="AM35" i="1"/>
  <c r="AN35" i="1" s="1"/>
  <c r="AO35" i="1" s="1"/>
  <c r="AM33" i="1"/>
  <c r="AN33" i="1" s="1"/>
  <c r="AO33" i="1" s="1"/>
  <c r="AM36" i="1"/>
  <c r="AN36" i="1" s="1"/>
  <c r="AO36" i="1" s="1"/>
  <c r="AM32" i="1"/>
  <c r="AN32" i="1" s="1"/>
  <c r="AO32" i="1" s="1"/>
  <c r="AM30" i="1"/>
  <c r="AN30" i="1" s="1"/>
  <c r="AO30" i="1" s="1"/>
  <c r="AB25" i="1"/>
  <c r="AM25" i="1" s="1"/>
  <c r="AN25" i="1" s="1"/>
  <c r="AO25" i="1" s="1"/>
  <c r="AM31" i="1"/>
  <c r="AN31" i="1" s="1"/>
  <c r="AO31" i="1" s="1"/>
  <c r="AM34" i="1"/>
  <c r="AN34" i="1" s="1"/>
  <c r="AO34" i="1" s="1"/>
  <c r="AB29" i="1"/>
  <c r="AM29" i="1" s="1"/>
  <c r="AN29" i="1" s="1"/>
  <c r="AO29" i="1" s="1"/>
  <c r="AB24" i="1"/>
  <c r="AM24" i="1" s="1"/>
  <c r="AN24" i="1" s="1"/>
  <c r="AO24" i="1" s="1"/>
  <c r="AB27" i="1"/>
  <c r="AM27" i="1" s="1"/>
  <c r="AN27" i="1" s="1"/>
  <c r="AO27" i="1" s="1"/>
  <c r="AB28" i="1"/>
  <c r="AM28" i="1" s="1"/>
  <c r="AN28" i="1" s="1"/>
  <c r="AO28" i="1" s="1"/>
  <c r="AI31" i="1"/>
  <c r="AI25" i="1"/>
  <c r="AG34" i="1"/>
  <c r="AH34" i="1" s="1"/>
  <c r="AI28" i="1"/>
  <c r="AG28" i="1"/>
  <c r="AH28" i="1" s="1"/>
  <c r="AG25" i="1"/>
  <c r="AH25" i="1" s="1"/>
  <c r="AI24" i="1"/>
  <c r="AG24" i="1"/>
  <c r="AK24" i="1" s="1"/>
  <c r="AL24" i="1" s="1"/>
  <c r="AJ33" i="1"/>
  <c r="AI30" i="1"/>
  <c r="AI33" i="1"/>
  <c r="AG33" i="1"/>
  <c r="AJ31" i="1"/>
  <c r="AG31" i="1"/>
  <c r="AI32" i="1"/>
  <c r="AI29" i="1"/>
  <c r="AJ28" i="1"/>
  <c r="AJ34" i="1"/>
  <c r="AI34" i="1"/>
  <c r="AJ26" i="1"/>
  <c r="AG26" i="1"/>
  <c r="AI26" i="1"/>
  <c r="AJ25" i="1"/>
  <c r="AJ24" i="1"/>
  <c r="AM38" i="1"/>
  <c r="AN38" i="1" s="1"/>
  <c r="AO38" i="1" s="1"/>
  <c r="AM41" i="1"/>
  <c r="AN41" i="1" s="1"/>
  <c r="AO41" i="1" s="1"/>
  <c r="AB21" i="1"/>
  <c r="AM21" i="1" s="1"/>
  <c r="AN21" i="1" s="1"/>
  <c r="AO21" i="1" s="1"/>
  <c r="AB23" i="1"/>
  <c r="AM23" i="1" s="1"/>
  <c r="AN23" i="1" s="1"/>
  <c r="AO23" i="1" s="1"/>
  <c r="AB22" i="1"/>
  <c r="AM22" i="1" s="1"/>
  <c r="AN22" i="1" s="1"/>
  <c r="AO22" i="1" s="1"/>
  <c r="AM39" i="1"/>
  <c r="AN39" i="1" s="1"/>
  <c r="AO39" i="1" s="1"/>
  <c r="AU40" i="1" l="1"/>
  <c r="AR40" i="1" s="1"/>
  <c r="AS40" i="1" s="1"/>
  <c r="AT40" i="1" s="1"/>
  <c r="AV40" i="1"/>
  <c r="AQ40" i="1"/>
  <c r="AP24" i="1"/>
  <c r="AU24" i="1" s="1"/>
  <c r="AR24" i="1" s="1"/>
  <c r="AS24" i="1" s="1"/>
  <c r="AT24" i="1" s="1"/>
  <c r="AK34" i="1"/>
  <c r="AL34" i="1" s="1"/>
  <c r="AP34" i="1" s="1"/>
  <c r="AQ34" i="1" s="1"/>
  <c r="AK28" i="1"/>
  <c r="AL28" i="1" s="1"/>
  <c r="AP28" i="1" s="1"/>
  <c r="AU28" i="1" s="1"/>
  <c r="AR28" i="1" s="1"/>
  <c r="AS28" i="1" s="1"/>
  <c r="AT28" i="1" s="1"/>
  <c r="AK25" i="1"/>
  <c r="AL25" i="1" s="1"/>
  <c r="AP25" i="1" s="1"/>
  <c r="AQ25" i="1" s="1"/>
  <c r="AG32" i="1"/>
  <c r="AH32" i="1" s="1"/>
  <c r="AG29" i="1"/>
  <c r="AH29" i="1" s="1"/>
  <c r="AH24" i="1"/>
  <c r="AJ27" i="1"/>
  <c r="AH31" i="1"/>
  <c r="AK31" i="1"/>
  <c r="AL31" i="1" s="1"/>
  <c r="AP31" i="1" s="1"/>
  <c r="AJ36" i="1"/>
  <c r="AG27" i="1"/>
  <c r="AJ35" i="1"/>
  <c r="AH33" i="1"/>
  <c r="AK33" i="1"/>
  <c r="AL33" i="1" s="1"/>
  <c r="AP33" i="1" s="1"/>
  <c r="AG36" i="1"/>
  <c r="AI27" i="1"/>
  <c r="AJ32" i="1"/>
  <c r="AG35" i="1"/>
  <c r="AJ30" i="1"/>
  <c r="AI36" i="1"/>
  <c r="AJ29" i="1"/>
  <c r="AI35" i="1"/>
  <c r="AG30" i="1"/>
  <c r="AK26" i="1"/>
  <c r="AL26" i="1" s="1"/>
  <c r="AP26" i="1" s="1"/>
  <c r="AH26" i="1"/>
  <c r="AV24" i="1"/>
  <c r="AI37" i="1"/>
  <c r="AG37" i="1"/>
  <c r="AJ37" i="1"/>
  <c r="AG22" i="1"/>
  <c r="AK32" i="1" l="1"/>
  <c r="AL32" i="1" s="1"/>
  <c r="AP32" i="1" s="1"/>
  <c r="AU34" i="1"/>
  <c r="AR34" i="1" s="1"/>
  <c r="AS34" i="1" s="1"/>
  <c r="AT34" i="1" s="1"/>
  <c r="AW34" i="1"/>
  <c r="AK29" i="1"/>
  <c r="AL29" i="1" s="1"/>
  <c r="AP29" i="1" s="1"/>
  <c r="AQ29" i="1" s="1"/>
  <c r="AW24" i="1"/>
  <c r="AQ24" i="1"/>
  <c r="AV34" i="1"/>
  <c r="AV28" i="1"/>
  <c r="AW28" i="1"/>
  <c r="AQ28" i="1"/>
  <c r="AV25" i="1"/>
  <c r="AW25" i="1"/>
  <c r="AU25" i="1"/>
  <c r="AR25" i="1" s="1"/>
  <c r="AS25" i="1" s="1"/>
  <c r="AT25" i="1" s="1"/>
  <c r="AW31" i="1"/>
  <c r="AV31" i="1"/>
  <c r="AU31" i="1"/>
  <c r="AR31" i="1" s="1"/>
  <c r="AS31" i="1" s="1"/>
  <c r="AT31" i="1" s="1"/>
  <c r="AQ31" i="1"/>
  <c r="AV33" i="1"/>
  <c r="AU33" i="1"/>
  <c r="AR33" i="1" s="1"/>
  <c r="AS33" i="1" s="1"/>
  <c r="AT33" i="1" s="1"/>
  <c r="AQ33" i="1"/>
  <c r="AW33" i="1"/>
  <c r="AH27" i="1"/>
  <c r="AK27" i="1"/>
  <c r="AL27" i="1" s="1"/>
  <c r="AP27" i="1" s="1"/>
  <c r="AH30" i="1"/>
  <c r="AK30" i="1"/>
  <c r="AL30" i="1" s="1"/>
  <c r="AP30" i="1" s="1"/>
  <c r="AK36" i="1"/>
  <c r="AL36" i="1" s="1"/>
  <c r="AP36" i="1" s="1"/>
  <c r="AH36" i="1"/>
  <c r="AW32" i="1"/>
  <c r="AV32" i="1"/>
  <c r="AQ32" i="1"/>
  <c r="AU32" i="1"/>
  <c r="AR32" i="1" s="1"/>
  <c r="AS32" i="1" s="1"/>
  <c r="AT32" i="1" s="1"/>
  <c r="AH35" i="1"/>
  <c r="AK35" i="1"/>
  <c r="AL35" i="1" s="1"/>
  <c r="AP35" i="1" s="1"/>
  <c r="AW26" i="1"/>
  <c r="AU26" i="1"/>
  <c r="AR26" i="1" s="1"/>
  <c r="AS26" i="1" s="1"/>
  <c r="AT26" i="1" s="1"/>
  <c r="AV26" i="1"/>
  <c r="AQ26" i="1"/>
  <c r="AG41" i="1"/>
  <c r="AI21" i="1"/>
  <c r="AG21" i="1"/>
  <c r="AK21" i="1" s="1"/>
  <c r="AL21" i="1" s="1"/>
  <c r="AP21" i="1" s="1"/>
  <c r="AI39" i="1"/>
  <c r="AG39" i="1"/>
  <c r="AH39" i="1" s="1"/>
  <c r="AG42" i="1"/>
  <c r="AG38" i="1"/>
  <c r="AK38" i="1" s="1"/>
  <c r="AL38" i="1" s="1"/>
  <c r="AP38" i="1" s="1"/>
  <c r="AH22" i="1"/>
  <c r="AK22" i="1"/>
  <c r="AL22" i="1" s="1"/>
  <c r="AP22" i="1" s="1"/>
  <c r="AJ23" i="1"/>
  <c r="AH37" i="1"/>
  <c r="AK37" i="1"/>
  <c r="AL37" i="1" s="1"/>
  <c r="AP37" i="1" s="1"/>
  <c r="AJ38" i="1"/>
  <c r="AJ41" i="1"/>
  <c r="AI23" i="1"/>
  <c r="AG23" i="1"/>
  <c r="AJ22" i="1"/>
  <c r="AI41" i="1"/>
  <c r="AJ39" i="1"/>
  <c r="AI22" i="1"/>
  <c r="AI38" i="1"/>
  <c r="AJ21" i="1"/>
  <c r="AU29" i="1" l="1"/>
  <c r="AR29" i="1" s="1"/>
  <c r="AS29" i="1" s="1"/>
  <c r="AT29" i="1" s="1"/>
  <c r="AW29" i="1"/>
  <c r="AV29" i="1"/>
  <c r="AW35" i="1"/>
  <c r="AV35" i="1"/>
  <c r="AU35" i="1"/>
  <c r="AR35" i="1" s="1"/>
  <c r="AS35" i="1" s="1"/>
  <c r="AT35" i="1" s="1"/>
  <c r="AQ35" i="1"/>
  <c r="AW36" i="1"/>
  <c r="AV36" i="1"/>
  <c r="AQ36" i="1"/>
  <c r="AU36" i="1"/>
  <c r="AR36" i="1" s="1"/>
  <c r="AS36" i="1" s="1"/>
  <c r="AT36" i="1" s="1"/>
  <c r="AQ30" i="1"/>
  <c r="AW30" i="1"/>
  <c r="AV30" i="1"/>
  <c r="AU30" i="1"/>
  <c r="AR30" i="1" s="1"/>
  <c r="AS30" i="1" s="1"/>
  <c r="AT30" i="1" s="1"/>
  <c r="AW27" i="1"/>
  <c r="AV27" i="1"/>
  <c r="AQ27" i="1"/>
  <c r="AU27" i="1"/>
  <c r="AR27" i="1" s="1"/>
  <c r="AS27" i="1" s="1"/>
  <c r="AT27" i="1" s="1"/>
  <c r="AH21" i="1"/>
  <c r="AK39" i="1"/>
  <c r="AL39" i="1" s="1"/>
  <c r="AP39" i="1" s="1"/>
  <c r="AU39" i="1" s="1"/>
  <c r="AR39" i="1" s="1"/>
  <c r="AS39" i="1" s="1"/>
  <c r="AT39" i="1" s="1"/>
  <c r="AH42" i="1"/>
  <c r="AK42" i="1"/>
  <c r="AL42" i="1" s="1"/>
  <c r="AP42" i="1" s="1"/>
  <c r="AU42" i="1" s="1"/>
  <c r="AR42" i="1" s="1"/>
  <c r="AS42" i="1" s="1"/>
  <c r="AT42" i="1" s="1"/>
  <c r="AI42" i="1"/>
  <c r="AH38" i="1"/>
  <c r="AJ42" i="1"/>
  <c r="AW21" i="1"/>
  <c r="AV21" i="1"/>
  <c r="AQ21" i="1"/>
  <c r="AU21" i="1"/>
  <c r="AR21" i="1" s="1"/>
  <c r="AS21" i="1" s="1"/>
  <c r="AT21" i="1" s="1"/>
  <c r="AV22" i="1"/>
  <c r="AQ22" i="1"/>
  <c r="AU22" i="1"/>
  <c r="AR22" i="1" s="1"/>
  <c r="AS22" i="1" s="1"/>
  <c r="AT22" i="1" s="1"/>
  <c r="AW22" i="1"/>
  <c r="AW37" i="1"/>
  <c r="AV37" i="1"/>
  <c r="AQ37" i="1"/>
  <c r="AU37" i="1"/>
  <c r="AR37" i="1" s="1"/>
  <c r="AS37" i="1" s="1"/>
  <c r="AT37" i="1" s="1"/>
  <c r="AH41" i="1"/>
  <c r="AK41" i="1"/>
  <c r="AL41" i="1" s="1"/>
  <c r="AP41" i="1" s="1"/>
  <c r="AW38" i="1"/>
  <c r="AV38" i="1"/>
  <c r="AU38" i="1"/>
  <c r="AR38" i="1" s="1"/>
  <c r="AS38" i="1" s="1"/>
  <c r="AT38" i="1" s="1"/>
  <c r="AQ38" i="1"/>
  <c r="AH23" i="1"/>
  <c r="AK23" i="1"/>
  <c r="AL23" i="1" s="1"/>
  <c r="AP23" i="1" s="1"/>
  <c r="AW39" i="1" l="1"/>
  <c r="AQ39" i="1"/>
  <c r="AV39" i="1"/>
  <c r="AW42" i="1"/>
  <c r="AV42" i="1"/>
  <c r="AQ42" i="1"/>
  <c r="AQ23" i="1"/>
  <c r="AW23" i="1"/>
  <c r="AV23" i="1"/>
  <c r="AU23" i="1"/>
  <c r="AR23" i="1" s="1"/>
  <c r="AS23" i="1" s="1"/>
  <c r="AT23" i="1" s="1"/>
  <c r="AQ41" i="1"/>
  <c r="AV41" i="1"/>
  <c r="AW41" i="1"/>
  <c r="AU41" i="1"/>
  <c r="AR41" i="1" s="1"/>
  <c r="AS41" i="1" s="1"/>
  <c r="AT41" i="1" s="1"/>
</calcChain>
</file>

<file path=xl/sharedStrings.xml><?xml version="1.0" encoding="utf-8"?>
<sst xmlns="http://schemas.openxmlformats.org/spreadsheetml/2006/main" count="171" uniqueCount="130">
  <si>
    <t>Determining Static System Error - Version 1.0.5</t>
  </si>
  <si>
    <t>CONSTANTS</t>
  </si>
  <si>
    <t>P_0</t>
  </si>
  <si>
    <t>lb/ft^2</t>
  </si>
  <si>
    <t>standard pressure</t>
  </si>
  <si>
    <t>T_0</t>
  </si>
  <si>
    <t>deg K</t>
  </si>
  <si>
    <t>amout to add to Celsius to get Kelvin</t>
  </si>
  <si>
    <t>as0</t>
  </si>
  <si>
    <t>kt</t>
  </si>
  <si>
    <t>speed of sound</t>
  </si>
  <si>
    <t>K</t>
  </si>
  <si>
    <t>recovery factor of temperature probe</t>
  </si>
  <si>
    <t>IAS units</t>
  </si>
  <si>
    <t>enter kt, mph or km/h</t>
  </si>
  <si>
    <t>factor for IAS</t>
  </si>
  <si>
    <t>GPS units</t>
  </si>
  <si>
    <t>factor for GPS</t>
  </si>
  <si>
    <t>temp units</t>
  </si>
  <si>
    <t>enter F or C (degrees Celsius or Fahrenheit)</t>
  </si>
  <si>
    <t>Reference altitude</t>
  </si>
  <si>
    <t>altitude to correct data to</t>
  </si>
  <si>
    <t>INPUTS</t>
  </si>
  <si>
    <t>OUTPUTS</t>
  </si>
  <si>
    <t>Errors due to static system position error</t>
  </si>
  <si>
    <t>GPS data</t>
  </si>
  <si>
    <t>Airspeed</t>
  </si>
  <si>
    <t>Altimeter</t>
  </si>
  <si>
    <t>OAT</t>
  </si>
  <si>
    <t>Test Condition</t>
  </si>
  <si>
    <t>Reference Condition</t>
  </si>
  <si>
    <t>Run</t>
  </si>
  <si>
    <t>GPS GS 1</t>
  </si>
  <si>
    <t>Track 1</t>
  </si>
  <si>
    <t>GPS GS 2</t>
  </si>
  <si>
    <t>Track 2</t>
  </si>
  <si>
    <t>GPS GS 3</t>
  </si>
  <si>
    <t>Track 3</t>
  </si>
  <si>
    <t>X1</t>
  </si>
  <si>
    <t>Y1</t>
  </si>
  <si>
    <t>X2</t>
  </si>
  <si>
    <t>Y2</t>
  </si>
  <si>
    <t>X3</t>
  </si>
  <si>
    <t>Y3</t>
  </si>
  <si>
    <t>M1</t>
  </si>
  <si>
    <t>B1</t>
  </si>
  <si>
    <t>M2</t>
  </si>
  <si>
    <t>B2</t>
  </si>
  <si>
    <t>WX</t>
  </si>
  <si>
    <t>WY</t>
  </si>
  <si>
    <t>Wind Speed</t>
  </si>
  <si>
    <t>Vt</t>
  </si>
  <si>
    <t>heading 1</t>
  </si>
  <si>
    <t>heading 2</t>
  </si>
  <si>
    <t>heading 3</t>
  </si>
  <si>
    <t>IAS</t>
  </si>
  <si>
    <t>instrument error</t>
  </si>
  <si>
    <t>IAS corrected for instrument error</t>
  </si>
  <si>
    <t>Indicated Pressure Altitude</t>
  </si>
  <si>
    <t>Pressure altitude corrected for instrument error</t>
  </si>
  <si>
    <t>Indicated OAT</t>
  </si>
  <si>
    <t>TAS</t>
  </si>
  <si>
    <t>Wind Direction</t>
  </si>
  <si>
    <t>Ambient Temperature</t>
  </si>
  <si>
    <t>Mach</t>
  </si>
  <si>
    <t>Indicated Mach</t>
  </si>
  <si>
    <t>Pressure altitude</t>
  </si>
  <si>
    <t>Calibrated Airspeed (CAS) at test condition</t>
  </si>
  <si>
    <t>CAS error at test condition</t>
  </si>
  <si>
    <t>Altitude error at test condition</t>
  </si>
  <si>
    <t>Approximate CAS error at reference condition</t>
  </si>
  <si>
    <t>Approximate altitude error at reference condition</t>
  </si>
  <si>
    <t>symbol</t>
  </si>
  <si>
    <t>Vi</t>
  </si>
  <si>
    <t>dVic</t>
  </si>
  <si>
    <t>Vic</t>
  </si>
  <si>
    <t>Hi</t>
  </si>
  <si>
    <t>dHic</t>
  </si>
  <si>
    <t>Hic</t>
  </si>
  <si>
    <t>Ti</t>
  </si>
  <si>
    <t>Ta</t>
  </si>
  <si>
    <t>M</t>
  </si>
  <si>
    <t>qcic/Psl</t>
  </si>
  <si>
    <t>qcic/Ps</t>
  </si>
  <si>
    <t>Mic</t>
  </si>
  <si>
    <t>dPp/Ps</t>
  </si>
  <si>
    <t>dPp/qcic</t>
  </si>
  <si>
    <t>Hc</t>
  </si>
  <si>
    <t>Vc</t>
  </si>
  <si>
    <t>dVpc</t>
  </si>
  <si>
    <t>dHpc</t>
  </si>
  <si>
    <t>(deg)</t>
  </si>
  <si>
    <t>(kt)</t>
  </si>
  <si>
    <t>(ft)</t>
  </si>
  <si>
    <t>(deg K)</t>
  </si>
  <si>
    <t>T</t>
  </si>
  <si>
    <t>by Kevin Horton, khorton01@rogers.com</t>
  </si>
  <si>
    <t>Complete documentation, including Version History, is available at http://members.rogers.com/khorton/rvlinks/ssec.html</t>
  </si>
  <si>
    <t>Lots more info at http://go.phpwebhosting.com/~khorton/rv8/phplinks/index.php?PID=47</t>
  </si>
  <si>
    <t>recovery factor for outside air temperature indicator.  Assume 0.8 if the manufacturer does not specify another value</t>
  </si>
  <si>
    <t>enter kt, mph or km/h as required to match your airspeed indicator</t>
  </si>
  <si>
    <t>enter kt, mph or km/h as required to match the ground speed display of your GPS</t>
  </si>
  <si>
    <t>enter C or F as required to match your outside temperature indicator</t>
  </si>
  <si>
    <t>indicated airspeed</t>
  </si>
  <si>
    <t>airspeed instrument error</t>
  </si>
  <si>
    <t>positive if the actual value is higher than the indicated value</t>
  </si>
  <si>
    <t>altimeter instrument error</t>
  </si>
  <si>
    <t>calculated true airspeed from GPS data</t>
  </si>
  <si>
    <t>CAS</t>
  </si>
  <si>
    <t>calculated calibrated airspeed (this would equal the IAS if there was no instrument error or position error)</t>
  </si>
  <si>
    <t>CAS error</t>
  </si>
  <si>
    <t>error in CAS due to position error</t>
  </si>
  <si>
    <t>If you put in corrections for airspeed indicator instrument error, the spreadsheet can calculate the error in CAS due to position error.</t>
  </si>
  <si>
    <t>If you put in corrections for airspeed indicator instrument error, the spreadsheet can calculate the error in altitude due to position error</t>
  </si>
  <si>
    <t>If you do not put in corrections for airspeed indicator instrument error, the CAS error includes position error and instrument error.</t>
  </si>
  <si>
    <t>If you do not put in corrections for airspeed indicator instrument error, the calculated altitude error is meaningless.</t>
  </si>
  <si>
    <t>EFIS instrument error</t>
  </si>
  <si>
    <t>EFIS IAS</t>
  </si>
  <si>
    <t>NOTE:  All speeds in KNOTS</t>
  </si>
  <si>
    <t>1 Flaps 0</t>
  </si>
  <si>
    <t>2 Flaps 0</t>
  </si>
  <si>
    <t>3 Flaps 0</t>
  </si>
  <si>
    <t>4 Flaps 0</t>
  </si>
  <si>
    <t>5 Flaps 0</t>
  </si>
  <si>
    <t>6 Flaps 0</t>
  </si>
  <si>
    <t>7 Flaps 0</t>
  </si>
  <si>
    <t>8 Flaps 0</t>
  </si>
  <si>
    <t>9 Flaps 0</t>
  </si>
  <si>
    <t>11 Jun 20 Flaps 0 Trim Shots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</si>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</sst>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#,##0;0;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Protection="1"/>
    <xf numFmtId="0" fontId="0" fillId="2" borderId="0" xfId="0" applyFill="1" applyProtection="1"/>
    <xf numFmtId="2" fontId="0" fillId="0" borderId="0" xfId="0" applyNumberFormat="1"/>
    <xf numFmtId="0" fontId="0" fillId="0" borderId="0" xfId="0" applyAlignment="1" applyProtection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 applyProtection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5" xfId="0" applyBorder="1"/>
    <xf numFmtId="0" fontId="0" fillId="0" borderId="5" xfId="0" applyBorder="1" applyProtection="1"/>
    <xf numFmtId="0" fontId="0" fillId="3" borderId="5" xfId="0" applyFill="1" applyBorder="1" applyProtection="1">
      <protection locked="0"/>
    </xf>
    <xf numFmtId="165" fontId="0" fillId="0" borderId="5" xfId="0" applyNumberFormat="1" applyBorder="1" applyProtection="1"/>
    <xf numFmtId="166" fontId="0" fillId="0" borderId="5" xfId="0" applyNumberFormat="1" applyBorder="1" applyProtection="1"/>
    <xf numFmtId="0" fontId="0" fillId="3" borderId="4" xfId="0" applyFill="1" applyBorder="1" applyProtection="1">
      <protection locked="0"/>
    </xf>
    <xf numFmtId="165" fontId="0" fillId="0" borderId="0" xfId="0" applyNumberFormat="1" applyProtection="1"/>
    <xf numFmtId="1" fontId="0" fillId="0" borderId="5" xfId="0" applyNumberFormat="1" applyBorder="1"/>
    <xf numFmtId="1" fontId="0" fillId="0" borderId="5" xfId="0" applyNumberFormat="1" applyBorder="1" applyProtection="1"/>
    <xf numFmtId="164" fontId="0" fillId="0" borderId="0" xfId="0" applyNumberFormat="1" applyProtection="1"/>
    <xf numFmtId="1" fontId="0" fillId="0" borderId="0" xfId="0" applyNumberFormat="1" applyProtection="1"/>
    <xf numFmtId="3" fontId="0" fillId="3" borderId="5" xfId="0" applyNumberFormat="1" applyFill="1" applyBorder="1" applyProtection="1">
      <protection locked="0"/>
    </xf>
    <xf numFmtId="0" fontId="2" fillId="0" borderId="0" xfId="0" applyFont="1"/>
    <xf numFmtId="165" fontId="3" fillId="0" borderId="0" xfId="0" applyNumberFormat="1" applyFont="1" applyProtection="1"/>
    <xf numFmtId="164" fontId="3" fillId="0" borderId="0" xfId="0" applyNumberFormat="1" applyFont="1" applyProtection="1"/>
    <xf numFmtId="1" fontId="3" fillId="0" borderId="0" xfId="0" applyNumberFormat="1" applyFont="1" applyProtection="1"/>
    <xf numFmtId="0" fontId="4" fillId="0" borderId="5" xfId="0" applyFont="1" applyBorder="1"/>
    <xf numFmtId="0" fontId="5" fillId="0" borderId="0" xfId="0" applyFont="1"/>
    <xf numFmtId="0" fontId="4" fillId="0" borderId="5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3" borderId="5" xfId="0" applyFont="1" applyFill="1" applyBorder="1" applyProtection="1">
      <protection locked="0"/>
    </xf>
    <xf numFmtId="165" fontId="6" fillId="0" borderId="5" xfId="0" applyNumberFormat="1" applyFont="1" applyBorder="1" applyProtection="1"/>
    <xf numFmtId="3" fontId="6" fillId="3" borderId="5" xfId="0" applyNumberFormat="1" applyFont="1" applyFill="1" applyBorder="1" applyProtection="1">
      <protection locked="0"/>
    </xf>
    <xf numFmtId="0" fontId="6" fillId="3" borderId="4" xfId="0" applyFont="1" applyFill="1" applyBorder="1" applyProtection="1">
      <protection locked="0"/>
    </xf>
    <xf numFmtId="165" fontId="6" fillId="0" borderId="0" xfId="0" applyNumberFormat="1" applyFont="1" applyProtection="1"/>
    <xf numFmtId="1" fontId="6" fillId="0" borderId="5" xfId="0" applyNumberFormat="1" applyFont="1" applyBorder="1"/>
    <xf numFmtId="1" fontId="6" fillId="0" borderId="5" xfId="0" applyNumberFormat="1" applyFont="1" applyBorder="1" applyProtection="1"/>
    <xf numFmtId="165" fontId="6" fillId="0" borderId="5" xfId="0" applyNumberFormat="1" applyFont="1" applyFill="1" applyBorder="1" applyProtection="1"/>
    <xf numFmtId="0" fontId="2" fillId="0" borderId="5" xfId="0" applyFont="1" applyBorder="1" applyProtection="1">
      <protection locked="0"/>
    </xf>
    <xf numFmtId="0" fontId="5" fillId="4" borderId="0" xfId="0" applyFont="1" applyFill="1"/>
    <xf numFmtId="0" fontId="0" fillId="4" borderId="0" xfId="0" applyFill="1"/>
    <xf numFmtId="0" fontId="4" fillId="4" borderId="5" xfId="0" applyFont="1" applyFill="1" applyBorder="1" applyProtection="1">
      <protection locked="0"/>
    </xf>
    <xf numFmtId="0" fontId="0" fillId="5" borderId="5" xfId="0" applyFill="1" applyBorder="1" applyProtection="1">
      <protection locked="0"/>
    </xf>
    <xf numFmtId="165" fontId="0" fillId="4" borderId="5" xfId="0" applyNumberFormat="1" applyFill="1" applyBorder="1" applyProtection="1"/>
    <xf numFmtId="166" fontId="0" fillId="5" borderId="5" xfId="0" applyNumberFormat="1" applyFill="1" applyBorder="1" applyProtection="1">
      <protection locked="0"/>
    </xf>
    <xf numFmtId="166" fontId="0" fillId="4" borderId="5" xfId="0" applyNumberFormat="1" applyFill="1" applyBorder="1" applyProtection="1"/>
    <xf numFmtId="0" fontId="0" fillId="5" borderId="4" xfId="0" applyFill="1" applyBorder="1" applyProtection="1">
      <protection locked="0"/>
    </xf>
    <xf numFmtId="165" fontId="0" fillId="4" borderId="0" xfId="0" applyNumberFormat="1" applyFill="1" applyProtection="1"/>
    <xf numFmtId="1" fontId="0" fillId="4" borderId="5" xfId="0" applyNumberFormat="1" applyFill="1" applyBorder="1"/>
    <xf numFmtId="1" fontId="0" fillId="4" borderId="5" xfId="0" applyNumberFormat="1" applyFill="1" applyBorder="1" applyProtection="1"/>
    <xf numFmtId="164" fontId="0" fillId="4" borderId="0" xfId="0" applyNumberFormat="1" applyFill="1" applyProtection="1"/>
    <xf numFmtId="1" fontId="0" fillId="4" borderId="0" xfId="0" applyNumberFormat="1" applyFill="1" applyProtection="1"/>
    <xf numFmtId="0" fontId="2" fillId="0" borderId="5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165" fontId="0" fillId="0" borderId="5" xfId="0" applyNumberFormat="1" applyFill="1" applyBorder="1" applyProtection="1"/>
    <xf numFmtId="3" fontId="0" fillId="0" borderId="5" xfId="0" applyNumberFormat="1" applyFill="1" applyBorder="1" applyProtection="1">
      <protection locked="0"/>
    </xf>
    <xf numFmtId="166" fontId="0" fillId="0" borderId="5" xfId="0" applyNumberFormat="1" applyFill="1" applyBorder="1" applyProtection="1"/>
    <xf numFmtId="0" fontId="0" fillId="0" borderId="4" xfId="0" applyFill="1" applyBorder="1" applyProtection="1">
      <protection locked="0"/>
    </xf>
    <xf numFmtId="165" fontId="0" fillId="0" borderId="0" xfId="0" applyNumberFormat="1" applyFill="1" applyProtection="1"/>
    <xf numFmtId="1" fontId="0" fillId="0" borderId="5" xfId="0" applyNumberFormat="1" applyFill="1" applyBorder="1"/>
    <xf numFmtId="1" fontId="0" fillId="0" borderId="5" xfId="0" applyNumberFormat="1" applyFill="1" applyBorder="1" applyProtection="1"/>
    <xf numFmtId="164" fontId="0" fillId="0" borderId="0" xfId="0" applyNumberFormat="1" applyFill="1" applyProtection="1"/>
    <xf numFmtId="1" fontId="0" fillId="0" borderId="0" xfId="0" applyNumberFormat="1" applyFill="1" applyProtection="1"/>
    <xf numFmtId="0" fontId="2" fillId="2" borderId="0" xfId="0" applyFont="1" applyFill="1" applyAlignment="1" applyProtection="1">
      <alignment horizontal="right"/>
      <protection locked="0"/>
    </xf>
    <xf numFmtId="0" fontId="0" fillId="0" borderId="0" xfId="0" applyFill="1"/>
    <xf numFmtId="0" fontId="4" fillId="0" borderId="5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2"/>
  <sheetViews>
    <sheetView tabSelected="1" workbookViewId="0">
      <selection activeCell="A36" sqref="A36:XFD36"/>
    </sheetView>
  </sheetViews>
  <sheetFormatPr baseColWidth="10" defaultColWidth="8.83203125" defaultRowHeight="13" x14ac:dyDescent="0.15"/>
  <cols>
    <col min="1" max="1" width="16.83203125" customWidth="1"/>
    <col min="2" max="2" width="7.1640625" customWidth="1"/>
    <col min="3" max="6" width="6.1640625" customWidth="1"/>
    <col min="7" max="7" width="6" customWidth="1"/>
    <col min="8" max="19" width="11.5" hidden="1" customWidth="1"/>
    <col min="20" max="20" width="7.33203125" hidden="1" customWidth="1"/>
    <col min="21" max="24" width="11.5" hidden="1" customWidth="1"/>
    <col min="25" max="25" width="6.5" customWidth="1"/>
    <col min="26" max="26" width="10.5" customWidth="1"/>
    <col min="27" max="27" width="10" customWidth="1"/>
    <col min="28" max="28" width="10" hidden="1" customWidth="1"/>
    <col min="29" max="29" width="8.83203125" customWidth="1"/>
    <col min="30" max="30" width="11.5" customWidth="1"/>
    <col min="31" max="31" width="12.33203125" customWidth="1"/>
    <col min="32" max="32" width="8.83203125" customWidth="1"/>
    <col min="33" max="33" width="7.33203125" hidden="1" customWidth="1"/>
    <col min="34" max="34" width="8" customWidth="1"/>
    <col min="35" max="35" width="7.5" customWidth="1"/>
    <col min="36" max="36" width="8.83203125" customWidth="1"/>
    <col min="37" max="37" width="11.5" hidden="1" customWidth="1"/>
    <col min="38" max="38" width="7.33203125" hidden="1" customWidth="1"/>
    <col min="39" max="39" width="8" hidden="1" customWidth="1"/>
    <col min="40" max="40" width="8.5" hidden="1" customWidth="1"/>
    <col min="41" max="41" width="9.1640625" hidden="1" customWidth="1"/>
    <col min="42" max="42" width="7.33203125" hidden="1" customWidth="1"/>
    <col min="43" max="43" width="8" hidden="1" customWidth="1"/>
    <col min="44" max="44" width="8.5" hidden="1" customWidth="1"/>
    <col min="45" max="47" width="11.33203125" customWidth="1"/>
    <col min="48" max="49" width="11.5" customWidth="1"/>
    <col min="50" max="50" width="8.83203125" customWidth="1"/>
    <col min="51" max="51" width="9" customWidth="1"/>
  </cols>
  <sheetData>
    <row r="1" spans="1:49" ht="12.75" customHeight="1" x14ac:dyDescent="0.15">
      <c r="A1" s="1" t="s">
        <v>0</v>
      </c>
    </row>
    <row r="2" spans="1:49" ht="12.75" customHeight="1" x14ac:dyDescent="0.15">
      <c r="AC2" s="42" t="s">
        <v>128</v>
      </c>
    </row>
    <row r="3" spans="1:49" ht="12.75" customHeight="1" x14ac:dyDescent="0.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C3" s="54" t="s">
        <v>118</v>
      </c>
      <c r="AD3" s="55"/>
      <c r="AE3" s="55"/>
      <c r="AJ3" s="1"/>
    </row>
    <row r="4" spans="1:49" ht="12.75" hidden="1" customHeight="1" x14ac:dyDescent="0.15">
      <c r="A4" t="s">
        <v>2</v>
      </c>
      <c r="B4">
        <v>2116.2199999999998</v>
      </c>
      <c r="C4" t="s">
        <v>3</v>
      </c>
      <c r="D4" t="s">
        <v>4</v>
      </c>
    </row>
    <row r="5" spans="1:49" ht="12.75" hidden="1" customHeight="1" x14ac:dyDescent="0.15">
      <c r="A5" t="s">
        <v>5</v>
      </c>
      <c r="B5">
        <v>273.14999999999998</v>
      </c>
      <c r="C5" t="s">
        <v>6</v>
      </c>
      <c r="D5" t="s">
        <v>7</v>
      </c>
    </row>
    <row r="6" spans="1:49" ht="12.75" hidden="1" customHeight="1" x14ac:dyDescent="0.15">
      <c r="A6" t="s">
        <v>8</v>
      </c>
      <c r="B6">
        <v>661.48</v>
      </c>
      <c r="C6" t="s">
        <v>9</v>
      </c>
      <c r="D6" t="s">
        <v>10</v>
      </c>
    </row>
    <row r="7" spans="1:49" ht="12.75" customHeight="1" x14ac:dyDescent="0.15">
      <c r="A7" t="s">
        <v>11</v>
      </c>
      <c r="B7" s="2">
        <v>0.8</v>
      </c>
      <c r="C7" t="s">
        <v>12</v>
      </c>
    </row>
    <row r="8" spans="1:49" ht="12.75" customHeight="1" x14ac:dyDescent="0.15">
      <c r="A8" t="s">
        <v>13</v>
      </c>
      <c r="B8" s="3" t="s">
        <v>9</v>
      </c>
      <c r="C8" t="s">
        <v>14</v>
      </c>
    </row>
    <row r="9" spans="1:49" ht="12.75" hidden="1" customHeight="1" x14ac:dyDescent="0.15">
      <c r="A9" s="4" t="s">
        <v>15</v>
      </c>
      <c r="B9" s="5">
        <f>IF(B8="kt",1,IF(B8="mph",6076/5280,IF(B8="km/h",6076*0.0003048,"ERR")))</f>
        <v>1</v>
      </c>
    </row>
    <row r="10" spans="1:49" ht="12.75" customHeight="1" x14ac:dyDescent="0.15">
      <c r="A10" t="s">
        <v>16</v>
      </c>
      <c r="B10" s="3" t="s">
        <v>9</v>
      </c>
      <c r="C10" t="s">
        <v>14</v>
      </c>
    </row>
    <row r="11" spans="1:49" ht="12.75" hidden="1" customHeight="1" x14ac:dyDescent="0.15">
      <c r="A11" s="4" t="s">
        <v>17</v>
      </c>
      <c r="B11" s="5">
        <f>IF(B10="kt",1,IF(B10="mph",6076/5280,IF(B10="km/h",1.852,"ERR")))</f>
        <v>1</v>
      </c>
    </row>
    <row r="12" spans="1:49" ht="12.75" customHeight="1" x14ac:dyDescent="0.15">
      <c r="A12" s="4" t="s">
        <v>18</v>
      </c>
      <c r="B12" s="78" t="s">
        <v>129</v>
      </c>
      <c r="C12" t="s">
        <v>19</v>
      </c>
      <c r="AU12" s="6"/>
      <c r="AW12" s="6"/>
    </row>
    <row r="13" spans="1:49" ht="12.75" customHeight="1" x14ac:dyDescent="0.15">
      <c r="A13" s="4" t="s">
        <v>20</v>
      </c>
      <c r="B13" s="3">
        <v>0</v>
      </c>
      <c r="C13" t="s">
        <v>21</v>
      </c>
    </row>
    <row r="14" spans="1:49" ht="12.75" customHeight="1" x14ac:dyDescent="0.15">
      <c r="A14" s="4"/>
      <c r="B14" s="7"/>
    </row>
    <row r="15" spans="1:49" x14ac:dyDescent="0.15">
      <c r="A15" s="1" t="s">
        <v>22</v>
      </c>
      <c r="AH15" s="1" t="s">
        <v>23</v>
      </c>
      <c r="AS15" s="8" t="s">
        <v>24</v>
      </c>
      <c r="AT15" s="9"/>
      <c r="AU15" s="9"/>
      <c r="AV15" s="9"/>
      <c r="AW15" s="10"/>
    </row>
    <row r="16" spans="1:49" ht="14" x14ac:dyDescent="0.15">
      <c r="B16" s="8" t="s">
        <v>25</v>
      </c>
      <c r="C16" s="9"/>
      <c r="D16" s="9"/>
      <c r="E16" s="9"/>
      <c r="F16" s="9"/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8" t="s">
        <v>26</v>
      </c>
      <c r="Z16" s="11"/>
      <c r="AA16" s="10"/>
      <c r="AB16" s="9"/>
      <c r="AC16" s="8" t="s">
        <v>27</v>
      </c>
      <c r="AD16" s="11"/>
      <c r="AE16" s="12"/>
      <c r="AF16" s="13" t="s">
        <v>28</v>
      </c>
      <c r="AJ16" s="1"/>
      <c r="AS16" s="8" t="s">
        <v>29</v>
      </c>
      <c r="AT16" s="11"/>
      <c r="AU16" s="12"/>
      <c r="AV16" s="8" t="s">
        <v>30</v>
      </c>
      <c r="AW16" s="12"/>
    </row>
    <row r="17" spans="1:51" ht="63.75" customHeight="1" x14ac:dyDescent="0.15">
      <c r="A17" s="14" t="s">
        <v>31</v>
      </c>
      <c r="B17" s="14" t="s">
        <v>32</v>
      </c>
      <c r="C17" s="14" t="s">
        <v>33</v>
      </c>
      <c r="D17" s="14" t="s">
        <v>34</v>
      </c>
      <c r="E17" s="14" t="s">
        <v>35</v>
      </c>
      <c r="F17" s="14" t="s">
        <v>36</v>
      </c>
      <c r="G17" s="14" t="s">
        <v>37</v>
      </c>
      <c r="H17" s="15" t="s">
        <v>38</v>
      </c>
      <c r="I17" s="15" t="s">
        <v>39</v>
      </c>
      <c r="J17" s="15" t="s">
        <v>40</v>
      </c>
      <c r="K17" s="15" t="s">
        <v>41</v>
      </c>
      <c r="L17" s="15" t="s">
        <v>42</v>
      </c>
      <c r="M17" s="15" t="s">
        <v>43</v>
      </c>
      <c r="N17" s="15" t="s">
        <v>44</v>
      </c>
      <c r="O17" s="15" t="s">
        <v>45</v>
      </c>
      <c r="P17" s="15" t="s">
        <v>46</v>
      </c>
      <c r="Q17" s="15" t="s">
        <v>47</v>
      </c>
      <c r="R17" s="15" t="s">
        <v>48</v>
      </c>
      <c r="S17" s="15" t="s">
        <v>49</v>
      </c>
      <c r="T17" s="16" t="s">
        <v>50</v>
      </c>
      <c r="U17" s="15" t="s">
        <v>51</v>
      </c>
      <c r="V17" s="15" t="s">
        <v>52</v>
      </c>
      <c r="W17" s="15" t="s">
        <v>53</v>
      </c>
      <c r="X17" s="15" t="s">
        <v>54</v>
      </c>
      <c r="Y17" s="14" t="s">
        <v>117</v>
      </c>
      <c r="Z17" s="14" t="s">
        <v>116</v>
      </c>
      <c r="AA17" s="14" t="s">
        <v>57</v>
      </c>
      <c r="AB17" s="14"/>
      <c r="AC17" s="14" t="s">
        <v>58</v>
      </c>
      <c r="AD17" s="14" t="s">
        <v>56</v>
      </c>
      <c r="AE17" s="14" t="s">
        <v>59</v>
      </c>
      <c r="AF17" s="17" t="s">
        <v>60</v>
      </c>
      <c r="AG17" s="14" t="s">
        <v>61</v>
      </c>
      <c r="AH17" s="14" t="s">
        <v>61</v>
      </c>
      <c r="AI17" s="14" t="s">
        <v>50</v>
      </c>
      <c r="AJ17" s="14" t="s">
        <v>62</v>
      </c>
      <c r="AK17" s="14" t="s">
        <v>63</v>
      </c>
      <c r="AL17" s="14" t="s">
        <v>64</v>
      </c>
      <c r="AM17" s="14"/>
      <c r="AN17" s="14"/>
      <c r="AO17" s="14" t="s">
        <v>65</v>
      </c>
      <c r="AP17" s="14"/>
      <c r="AQ17" s="14"/>
      <c r="AR17" s="14" t="s">
        <v>66</v>
      </c>
      <c r="AS17" s="14" t="s">
        <v>67</v>
      </c>
      <c r="AT17" s="14" t="s">
        <v>68</v>
      </c>
      <c r="AU17" s="14" t="s">
        <v>69</v>
      </c>
      <c r="AV17" s="14" t="s">
        <v>70</v>
      </c>
      <c r="AW17" s="14" t="s">
        <v>71</v>
      </c>
      <c r="AY17" s="18"/>
    </row>
    <row r="18" spans="1:51" ht="25.5" hidden="1" customHeight="1" x14ac:dyDescent="0.15">
      <c r="A18" s="14" t="s">
        <v>72</v>
      </c>
      <c r="B18" s="14"/>
      <c r="C18" s="14"/>
      <c r="D18" s="14"/>
      <c r="E18" s="14"/>
      <c r="F18" s="14"/>
      <c r="G18" s="1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8"/>
      <c r="U18" s="19"/>
      <c r="V18" s="19"/>
      <c r="W18" s="19"/>
      <c r="X18" s="19"/>
      <c r="Y18" s="14" t="s">
        <v>73</v>
      </c>
      <c r="Z18" s="14" t="s">
        <v>74</v>
      </c>
      <c r="AA18" s="16" t="s">
        <v>75</v>
      </c>
      <c r="AB18" s="16" t="s">
        <v>75</v>
      </c>
      <c r="AC18" s="14" t="s">
        <v>76</v>
      </c>
      <c r="AD18" s="14" t="s">
        <v>77</v>
      </c>
      <c r="AE18" s="16" t="s">
        <v>78</v>
      </c>
      <c r="AF18" s="17" t="s">
        <v>79</v>
      </c>
      <c r="AG18" s="18" t="s">
        <v>51</v>
      </c>
      <c r="AH18" s="16" t="s">
        <v>51</v>
      </c>
      <c r="AI18" s="16"/>
      <c r="AJ18" s="16"/>
      <c r="AK18" s="18" t="s">
        <v>80</v>
      </c>
      <c r="AL18" s="18" t="s">
        <v>81</v>
      </c>
      <c r="AM18" s="18" t="s">
        <v>82</v>
      </c>
      <c r="AN18" s="18" t="s">
        <v>83</v>
      </c>
      <c r="AO18" s="18" t="s">
        <v>84</v>
      </c>
      <c r="AP18" s="18" t="s">
        <v>85</v>
      </c>
      <c r="AQ18" s="18" t="s">
        <v>86</v>
      </c>
      <c r="AR18" s="18" t="s">
        <v>87</v>
      </c>
      <c r="AS18" s="16" t="s">
        <v>88</v>
      </c>
      <c r="AT18" s="16" t="s">
        <v>89</v>
      </c>
      <c r="AU18" s="16" t="s">
        <v>90</v>
      </c>
      <c r="AV18" s="16" t="s">
        <v>89</v>
      </c>
      <c r="AW18" s="16" t="s">
        <v>90</v>
      </c>
      <c r="AY18" s="18"/>
    </row>
    <row r="19" spans="1:51" x14ac:dyDescent="0.15">
      <c r="A19" s="20"/>
      <c r="B19" s="20" t="str">
        <f>IF(GPS_units="kt", "(kt)",IF(GPS_units="mph","(mph)",IF(GPS_units="km/h","(km/h)","ERROR")))</f>
        <v>(kt)</v>
      </c>
      <c r="C19" s="20" t="s">
        <v>91</v>
      </c>
      <c r="D19" s="20" t="str">
        <f>IF(GPS_units="kt", "(kt)",IF(GPS_units="mph","(mph)",IF(GPS_units="km/h","(km/h)","ERROR")))</f>
        <v>(kt)</v>
      </c>
      <c r="E19" s="20" t="s">
        <v>91</v>
      </c>
      <c r="F19" s="20" t="str">
        <f>IF(GPS_units="kt", "(kt)",IF(GPS_units="mph","(mph)",IF(GPS_units="km/h","(km/h)","ERROR")))</f>
        <v>(kt)</v>
      </c>
      <c r="G19" s="20" t="s">
        <v>91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 t="str">
        <f>IF(GPS_units="kt", "(kt)",IF(GPS_units="mph","(mph)",IF(GPS_units="km/h","(km/h)","####")))</f>
        <v>(kt)</v>
      </c>
      <c r="U19" s="21" t="str">
        <f>IF(GPS_units="kt", "(kt)",IF(GPS_units="mph","(mph)",IF(GPS_units="km/h","(km/h)","####")))</f>
        <v>(kt)</v>
      </c>
      <c r="V19" s="21"/>
      <c r="W19" s="21"/>
      <c r="X19" s="21"/>
      <c r="Y19" s="20" t="str">
        <f>IF(IAS_units="kt", "(kt)",IF(IAS_units="mph","(mph)",IF(IAS_units="km/h","(km/h)","ERROR")))</f>
        <v>(kt)</v>
      </c>
      <c r="Z19" s="20" t="str">
        <f>IF(IAS_units="kt", "(kt)",IF(IAS_units="mph","(mph)",IF(IAS_units="km/h","(km/h)","ERROR")))</f>
        <v>(kt)</v>
      </c>
      <c r="AA19" s="20" t="str">
        <f>IF(IAS_units="kt", "(kt)",IF(IAS_units="mph","(mph)",IF(IAS_units="km/h","(km/h)","ERROR")))</f>
        <v>(kt)</v>
      </c>
      <c r="AB19" s="20" t="s">
        <v>92</v>
      </c>
      <c r="AC19" s="20" t="s">
        <v>93</v>
      </c>
      <c r="AD19" s="20" t="s">
        <v>93</v>
      </c>
      <c r="AE19" s="22" t="s">
        <v>93</v>
      </c>
      <c r="AF19" s="23" t="str">
        <f>IF(temp_units="c","(deg C)",IF(temp_units="f","(deg F)","####"))</f>
        <v>(deg F)</v>
      </c>
      <c r="AG19" s="24" t="s">
        <v>92</v>
      </c>
      <c r="AH19" s="20" t="str">
        <f>IF(IAS_units="kt", "(kt)",IF(IAS_units="mph","(mph)",IF(IAS_units="km/h","(km/h)","ERROR")))</f>
        <v>(kt)</v>
      </c>
      <c r="AI19" s="22" t="s">
        <v>92</v>
      </c>
      <c r="AJ19" s="22" t="s">
        <v>91</v>
      </c>
      <c r="AK19" s="24" t="s">
        <v>94</v>
      </c>
      <c r="AL19" s="24"/>
      <c r="AM19" s="24"/>
      <c r="AN19" s="24"/>
      <c r="AO19" s="24"/>
      <c r="AP19" s="24"/>
      <c r="AQ19" s="24"/>
      <c r="AR19" s="24" t="s">
        <v>93</v>
      </c>
      <c r="AS19" s="20" t="str">
        <f>IF(IAS_units="kt", "(kt)",IF(IAS_units="mph","(mph)",IF(IAS_units="km/h","(km/h)","ERROR")))</f>
        <v>(kt)</v>
      </c>
      <c r="AT19" s="20" t="str">
        <f>IF(IAS_units="kt", "(kt)",IF(IAS_units="mph","(mph)",IF(IAS_units="km/h","(km/h)","ERROR")))</f>
        <v>(kt)</v>
      </c>
      <c r="AU19" s="22" t="s">
        <v>93</v>
      </c>
      <c r="AV19" s="20" t="str">
        <f>IF(IAS_units="kt", "(kt)",IF(IAS_units="mph","(mph)",IF(IAS_units="km/h","(km/h)","ERROR")))</f>
        <v>(kt)</v>
      </c>
      <c r="AW19" s="22" t="s">
        <v>93</v>
      </c>
      <c r="AY19" s="24"/>
    </row>
    <row r="20" spans="1:51" x14ac:dyDescent="0.15">
      <c r="A20" s="41" t="s">
        <v>31</v>
      </c>
      <c r="B20" s="25"/>
      <c r="C20" s="25"/>
      <c r="D20" s="25"/>
      <c r="E20" s="25"/>
      <c r="F20" s="25"/>
      <c r="G20" s="25"/>
      <c r="T20" s="4"/>
      <c r="Y20" s="20" t="s">
        <v>73</v>
      </c>
      <c r="Z20" s="20" t="s">
        <v>74</v>
      </c>
      <c r="AA20" s="22" t="s">
        <v>75</v>
      </c>
      <c r="AB20" s="22"/>
      <c r="AC20" s="20" t="s">
        <v>76</v>
      </c>
      <c r="AD20" s="20" t="s">
        <v>77</v>
      </c>
      <c r="AE20" s="22" t="s">
        <v>78</v>
      </c>
      <c r="AF20" s="23" t="s">
        <v>79</v>
      </c>
      <c r="AG20" s="24" t="s">
        <v>51</v>
      </c>
      <c r="AH20" s="22"/>
      <c r="AI20" s="25"/>
      <c r="AJ20" s="26"/>
      <c r="AK20" s="24" t="s">
        <v>95</v>
      </c>
      <c r="AL20" s="24" t="s">
        <v>81</v>
      </c>
      <c r="AM20" s="24"/>
      <c r="AN20" s="24"/>
      <c r="AO20" s="24"/>
      <c r="AP20" s="24"/>
      <c r="AQ20" s="24"/>
      <c r="AR20" s="24"/>
      <c r="AS20" s="22"/>
      <c r="AT20" s="22"/>
      <c r="AU20" s="22"/>
      <c r="AV20" s="22"/>
      <c r="AW20" s="22"/>
      <c r="AY20" s="24"/>
    </row>
    <row r="21" spans="1:51" s="55" customFormat="1" x14ac:dyDescent="0.15">
      <c r="A21" s="56" t="s">
        <v>119</v>
      </c>
      <c r="B21" s="57">
        <v>171</v>
      </c>
      <c r="C21" s="57">
        <v>6</v>
      </c>
      <c r="D21" s="57">
        <v>151</v>
      </c>
      <c r="E21" s="57">
        <v>264</v>
      </c>
      <c r="F21" s="57">
        <v>161</v>
      </c>
      <c r="G21" s="57">
        <v>174</v>
      </c>
      <c r="H21" s="57">
        <f t="shared" ref="H21:H29" si="0">B21*SIN(PI()*(360-C21)/180)</f>
        <v>-17.874367218768732</v>
      </c>
      <c r="I21" s="57">
        <f t="shared" ref="I21:I29" si="1">B21*COS(PI()*(360-C21)/180)</f>
        <v>170.06324410797473</v>
      </c>
      <c r="J21" s="57">
        <f t="shared" ref="J21:J29" si="2">D21*SIN(PI()*(360-E21)/180)</f>
        <v>150.17280620060927</v>
      </c>
      <c r="K21" s="57">
        <f t="shared" ref="K21:K29" si="3">D21*COS(PI()*(360-E21)/180)</f>
        <v>-15.783797953415654</v>
      </c>
      <c r="L21" s="57">
        <f t="shared" ref="L21:L29" si="4">F21*SIN(PI()*(360-G21)/180)</f>
        <v>-16.829082586092142</v>
      </c>
      <c r="M21" s="57">
        <f t="shared" ref="M21:M29" si="5">F21*COS(PI()*(360-G21)/180)</f>
        <v>-160.11802515429201</v>
      </c>
      <c r="N21" s="57">
        <f t="shared" ref="N21:N29" si="6">-1*(J21-H21)/(K21-I21)</f>
        <v>0.90422301886229328</v>
      </c>
      <c r="O21" s="57">
        <f t="shared" ref="O21:O29" si="7">(I21+K21)/2-N21*(H21+J21)/2</f>
        <v>17.326076133815157</v>
      </c>
      <c r="P21" s="57">
        <f t="shared" ref="P21:P29" si="8">-1*(L21-H21)/(M21-I21)</f>
        <v>3.1657902188458467E-3</v>
      </c>
      <c r="Q21" s="57">
        <f t="shared" ref="Q21:Q29" si="9">(I21+M21)/2-P21*(H21+L21)/2</f>
        <v>5.0275413978175738</v>
      </c>
      <c r="R21" s="57">
        <f t="shared" ref="R21:R29" si="10">(O21-Q21)/(P21-N21)</f>
        <v>-13.649005129799775</v>
      </c>
      <c r="S21" s="57">
        <f t="shared" ref="S21:S29" si="11">N21*R21+O21</f>
        <v>4.9843315108806774</v>
      </c>
      <c r="T21" s="57">
        <f t="shared" ref="T21:T29" si="12">SQRT(R21^2+S21^2)</f>
        <v>14.53061945147758</v>
      </c>
      <c r="U21" s="57">
        <f t="shared" ref="U21:U29" si="13">SQRT((H21-R21)^2+(I21-S21)^2)</f>
        <v>165.13297995561609</v>
      </c>
      <c r="V21" s="57">
        <f t="shared" ref="V21:V29" si="14">MOD(540-(180/PI()*ATAN2(S21-I21,R21-H21)),360)</f>
        <v>1.4662234048982441</v>
      </c>
      <c r="W21" s="57">
        <f t="shared" ref="W21:W29" si="15">MOD(540-(180/PI()*ATAN2(S21-K21,R21-J21)),360)</f>
        <v>262.77500126118571</v>
      </c>
      <c r="X21" s="57">
        <f t="shared" ref="X21:X29" si="16">MOD(540-(180/PI()*ATAN2(S21-M21,R21-L21)),360)</f>
        <v>178.89654821990575</v>
      </c>
      <c r="Y21" s="57">
        <v>149.47</v>
      </c>
      <c r="Z21" s="57">
        <v>0</v>
      </c>
      <c r="AA21" s="58">
        <f t="shared" ref="AA21:AA29" si="17">IF(Vi+dVic=0,"",Vi+dVic)</f>
        <v>149.47</v>
      </c>
      <c r="AB21" s="58">
        <f t="shared" ref="AB21:AB23" si="18">IF(ISERROR(AA21/factor_for_IAS),"",AA21/factor_for_IAS)</f>
        <v>149.47</v>
      </c>
      <c r="AC21" s="59">
        <v>5552</v>
      </c>
      <c r="AD21" s="57">
        <v>0</v>
      </c>
      <c r="AE21" s="60">
        <v>5521</v>
      </c>
      <c r="AF21" s="61">
        <v>71</v>
      </c>
      <c r="AG21" s="62">
        <f t="shared" ref="AG21:AG23" si="19">U21/factor_for_GPS</f>
        <v>165.13297995561609</v>
      </c>
      <c r="AH21" s="58">
        <f t="shared" ref="AH21:AH42" si="20">IF(ISERROR(Vt*factor_for_IAS),"",Vt*factor_for_IAS)</f>
        <v>165.13297995561609</v>
      </c>
      <c r="AI21" s="63">
        <f t="shared" ref="AI21:AI23" si="21">IF(ISERROR(T21/factor_for_GPS),"",T21/factor_for_GPS)</f>
        <v>14.53061945147758</v>
      </c>
      <c r="AJ21" s="64">
        <f t="shared" ref="AJ21:AJ23" si="22">IF(ISERROR(MOD(540-(180/PI()*ATAN2(S21,R21)),360)),"",MOD(540-(180/PI()*ATAN2(S21,R21)),360))</f>
        <v>249.93886271577264</v>
      </c>
      <c r="AK21" s="62">
        <f t="shared" ref="AK21:AK42" si="23">IF(temp_units="c",Ti-(K*Vt^2/7592)+T_0,IF(temp_units="f",(5/9*(Ti-32))-(K*Vt^2/7592)+T_0,"####"))</f>
        <v>291.9432313590774</v>
      </c>
      <c r="AL21" s="65">
        <f t="shared" ref="AL21:AL42" si="24">Vt/(38.968*SQRT(Ta))</f>
        <v>0.24801417103484069</v>
      </c>
      <c r="AM21" s="65">
        <f t="shared" ref="AM21:AM42" si="25">((1+0.2*(Vic/as0)^2)^3.5-1)</f>
        <v>3.6200057770707339E-2</v>
      </c>
      <c r="AN21" s="65">
        <f t="shared" ref="AN21:AN42" si="26">qcic_over_Psl/((1-0.00000687558*Hic)^5.2559)</f>
        <v>4.4365428107750765E-2</v>
      </c>
      <c r="AO21" s="65">
        <f t="shared" ref="AO21:AO42" si="27">SQRT(5*((qcic_over_Ps+1)^(2/7)-1))</f>
        <v>0.24979925877372944</v>
      </c>
      <c r="AP21" s="65">
        <f t="shared" ref="AP21:AP42" si="28">1.4*(Mic+(M-Mic)/2)*(M-Mic)/(1+0.2*(Mic+(M-Mic)/2)^2)</f>
        <v>-6.1443504518329177E-4</v>
      </c>
      <c r="AQ21" s="65">
        <f t="shared" ref="AQ21:AQ42" si="29">dPp_over_Ps/qcic_over_Ps</f>
        <v>-1.3849410935267144E-2</v>
      </c>
      <c r="AR21" s="66">
        <f t="shared" ref="AR21:AR42" si="30">Hic+dHpc</f>
        <v>5504.6430413400212</v>
      </c>
      <c r="AS21" s="58">
        <f t="shared" ref="AS21:AS42" si="31">IF(ISERROR(factor_for_IAS*as0*SQRT(5*(((((1-0.00000687558*Hc)^5.2559)*((1+0.2*M^2)^3.5-1)+1)^(2/7))-1))),"",factor_for_IAS*as0*SQRT(5*(((((1-0.00000687558*Hc)^5.2559)*((1+0.2*M^2)^3.5-1)+1)^(2/7))-1)))</f>
        <v>148.4439608146179</v>
      </c>
      <c r="AT21" s="58">
        <f t="shared" ref="AT21:AT23" si="32">IF(ISERROR(AS21-AA21),"",AS21-AA21)</f>
        <v>-1.0260391853821034</v>
      </c>
      <c r="AU21" s="64">
        <f t="shared" ref="AU21:AU42" si="33">IF(ISERROR((1-0.00000687558*Hic)*dPp_over_Ps/0.0000361382),"",(1-0.00000687558*Hic)*dPp_over_Ps/0.0000361382)</f>
        <v>-16.356958659978559</v>
      </c>
      <c r="AV21" s="58">
        <f t="shared" ref="AV21:AV42" si="34">IF(ISERROR(factor_for_IAS*as0^2*(1-0.00000687558*H_std_altitude)^5.2559*dPp_over_Ps/(1.4*Vic*(1+0.2*(Vic/as0)^2)^2.5)),"",factor_for_IAS*as0^2*(1-0.00000687558*H_std_altitude)^5.2559*dPp_over_Ps/(1.4*Vic*(1+0.2*(Vic/as0)^2)^2.5))</f>
        <v>-1.2525532323675741</v>
      </c>
      <c r="AW21" s="64">
        <f t="shared" ref="AW21:AW42" si="35">IF(ISERROR((1-0.00000687558*H_std_altitude)*dPp_over_Ps/0.0000361382),"",(1-0.00000687558*H_std_altitude)*dPp_over_Ps/0.0000361382)</f>
        <v>-17.002369934952259</v>
      </c>
      <c r="AY21" s="65"/>
    </row>
    <row r="22" spans="1:51" x14ac:dyDescent="0.15">
      <c r="A22" s="43" t="s">
        <v>120</v>
      </c>
      <c r="B22" s="27">
        <v>165</v>
      </c>
      <c r="C22" s="27">
        <v>89</v>
      </c>
      <c r="D22" s="27">
        <v>156</v>
      </c>
      <c r="E22" s="27">
        <v>360</v>
      </c>
      <c r="F22" s="27">
        <v>138</v>
      </c>
      <c r="G22" s="27">
        <v>270</v>
      </c>
      <c r="H22" s="27">
        <f t="shared" si="0"/>
        <v>-164.97486970080456</v>
      </c>
      <c r="I22" s="27">
        <f t="shared" si="1"/>
        <v>2.8796470621517165</v>
      </c>
      <c r="J22" s="27">
        <f t="shared" si="2"/>
        <v>0</v>
      </c>
      <c r="K22" s="27">
        <f t="shared" si="3"/>
        <v>156</v>
      </c>
      <c r="L22" s="27">
        <f t="shared" si="4"/>
        <v>138</v>
      </c>
      <c r="M22" s="27">
        <f t="shared" si="5"/>
        <v>8.4535243388694781E-15</v>
      </c>
      <c r="N22" s="27">
        <f t="shared" si="6"/>
        <v>-1.0774196018720519</v>
      </c>
      <c r="O22" s="27">
        <f t="shared" si="7"/>
        <v>-9.4337556848913806</v>
      </c>
      <c r="P22" s="27">
        <f t="shared" si="8"/>
        <v>105.21250110227675</v>
      </c>
      <c r="Q22" s="27">
        <f t="shared" si="9"/>
        <v>1420.4865775959117</v>
      </c>
      <c r="R22" s="27">
        <f t="shared" si="10"/>
        <v>-13.453019099157059</v>
      </c>
      <c r="S22" s="27">
        <f t="shared" si="11"/>
        <v>5.0607907968995285</v>
      </c>
      <c r="T22" s="27">
        <f t="shared" si="12"/>
        <v>14.373424309198819</v>
      </c>
      <c r="U22" s="27">
        <f t="shared" si="13"/>
        <v>151.53754847475798</v>
      </c>
      <c r="V22" s="27">
        <f t="shared" si="14"/>
        <v>90.824710754540547</v>
      </c>
      <c r="W22" s="27">
        <f t="shared" si="15"/>
        <v>354.90675861997954</v>
      </c>
      <c r="X22" s="27">
        <f t="shared" si="16"/>
        <v>268.08617809045154</v>
      </c>
      <c r="Y22" s="27">
        <v>136.86000000000001</v>
      </c>
      <c r="Z22" s="27">
        <v>0</v>
      </c>
      <c r="AA22" s="28">
        <f t="shared" si="17"/>
        <v>136.86000000000001</v>
      </c>
      <c r="AB22" s="28">
        <f t="shared" si="18"/>
        <v>136.86000000000001</v>
      </c>
      <c r="AC22" s="36">
        <v>5556</v>
      </c>
      <c r="AD22" s="27">
        <v>0</v>
      </c>
      <c r="AE22" s="29">
        <v>5520</v>
      </c>
      <c r="AF22" s="30">
        <v>70</v>
      </c>
      <c r="AG22" s="31">
        <f t="shared" si="19"/>
        <v>151.53754847475798</v>
      </c>
      <c r="AH22" s="28">
        <f t="shared" si="20"/>
        <v>151.53754847475798</v>
      </c>
      <c r="AI22" s="32">
        <f t="shared" si="21"/>
        <v>14.373424309198819</v>
      </c>
      <c r="AJ22" s="33">
        <f t="shared" si="22"/>
        <v>249.38457700391223</v>
      </c>
      <c r="AK22" s="31">
        <f t="shared" si="23"/>
        <v>291.8413399206222</v>
      </c>
      <c r="AL22" s="34">
        <f t="shared" si="24"/>
        <v>0.22763484142227508</v>
      </c>
      <c r="AM22" s="34">
        <f t="shared" si="25"/>
        <v>3.0287292422138234E-2</v>
      </c>
      <c r="AN22" s="34">
        <f t="shared" si="26"/>
        <v>3.7117571195207422E-2</v>
      </c>
      <c r="AO22" s="34">
        <f t="shared" si="27"/>
        <v>0.22877222246227624</v>
      </c>
      <c r="AP22" s="34">
        <f t="shared" si="28"/>
        <v>-3.5963043450756464E-4</v>
      </c>
      <c r="AQ22" s="34">
        <f t="shared" si="29"/>
        <v>-9.6889538546638451E-3</v>
      </c>
      <c r="AR22" s="35">
        <f t="shared" si="30"/>
        <v>5510.4261610117492</v>
      </c>
      <c r="AS22" s="28">
        <f t="shared" si="31"/>
        <v>136.20222354195181</v>
      </c>
      <c r="AT22" s="28">
        <f t="shared" si="32"/>
        <v>-0.65777645804820395</v>
      </c>
      <c r="AU22" s="33">
        <f t="shared" si="33"/>
        <v>-9.5738389882507562</v>
      </c>
      <c r="AV22" s="28">
        <f t="shared" si="34"/>
        <v>-0.80395056058741909</v>
      </c>
      <c r="AW22" s="33">
        <f t="shared" si="35"/>
        <v>-9.9515314682957268</v>
      </c>
      <c r="AY22" s="34"/>
    </row>
    <row r="23" spans="1:51" x14ac:dyDescent="0.15">
      <c r="A23" s="43" t="s">
        <v>121</v>
      </c>
      <c r="B23" s="27">
        <v>116</v>
      </c>
      <c r="C23" s="27">
        <v>273</v>
      </c>
      <c r="D23" s="27">
        <v>129</v>
      </c>
      <c r="E23" s="27">
        <v>171</v>
      </c>
      <c r="F23" s="27">
        <v>146</v>
      </c>
      <c r="G23" s="27">
        <v>79</v>
      </c>
      <c r="H23" s="27">
        <f t="shared" si="0"/>
        <v>115.84102603153056</v>
      </c>
      <c r="I23" s="27">
        <f t="shared" si="1"/>
        <v>6.0709709241815002</v>
      </c>
      <c r="J23" s="27">
        <f t="shared" si="2"/>
        <v>-20.180045990189765</v>
      </c>
      <c r="K23" s="27">
        <f t="shared" si="3"/>
        <v>-127.41179593677278</v>
      </c>
      <c r="L23" s="27">
        <f t="shared" si="4"/>
        <v>-143.31756878335895</v>
      </c>
      <c r="M23" s="27">
        <f t="shared" si="5"/>
        <v>27.858113324975459</v>
      </c>
      <c r="N23" s="27">
        <f t="shared" si="6"/>
        <v>-1.0190159765223485</v>
      </c>
      <c r="O23" s="27">
        <f t="shared" si="7"/>
        <v>-11.930379010339749</v>
      </c>
      <c r="P23" s="27">
        <f t="shared" si="8"/>
        <v>11.89502459971278</v>
      </c>
      <c r="Q23" s="27">
        <f t="shared" si="9"/>
        <v>180.38161809860779</v>
      </c>
      <c r="R23" s="27">
        <f t="shared" si="10"/>
        <v>-14.891698378495638</v>
      </c>
      <c r="S23" s="27">
        <f t="shared" si="11"/>
        <v>3.2444995548992583</v>
      </c>
      <c r="T23" s="27">
        <f t="shared" si="12"/>
        <v>15.241045172750821</v>
      </c>
      <c r="U23" s="27">
        <f t="shared" si="13"/>
        <v>130.76327531868128</v>
      </c>
      <c r="V23" s="27">
        <f t="shared" si="14"/>
        <v>271.23855488606102</v>
      </c>
      <c r="W23" s="27">
        <f t="shared" si="15"/>
        <v>177.68220354678147</v>
      </c>
      <c r="X23" s="27">
        <f t="shared" si="16"/>
        <v>79.15047404683645</v>
      </c>
      <c r="Y23" s="27">
        <v>118.69</v>
      </c>
      <c r="Z23" s="27">
        <v>0</v>
      </c>
      <c r="AA23" s="28">
        <f t="shared" si="17"/>
        <v>118.69</v>
      </c>
      <c r="AB23" s="28">
        <f t="shared" si="18"/>
        <v>118.69</v>
      </c>
      <c r="AC23" s="36">
        <v>5583</v>
      </c>
      <c r="AD23" s="27">
        <v>0</v>
      </c>
      <c r="AE23" s="29">
        <v>5496</v>
      </c>
      <c r="AF23" s="30">
        <v>69</v>
      </c>
      <c r="AG23" s="31">
        <f t="shared" si="19"/>
        <v>130.76327531868128</v>
      </c>
      <c r="AH23" s="28">
        <f t="shared" si="20"/>
        <v>130.76327531868128</v>
      </c>
      <c r="AI23" s="32">
        <f t="shared" si="21"/>
        <v>15.241045172750821</v>
      </c>
      <c r="AJ23" s="33">
        <f t="shared" si="22"/>
        <v>257.70887319374424</v>
      </c>
      <c r="AK23" s="31">
        <f t="shared" si="23"/>
        <v>291.90376059537965</v>
      </c>
      <c r="AL23" s="34">
        <f t="shared" si="24"/>
        <v>0.1964073918401425</v>
      </c>
      <c r="AM23" s="34">
        <f t="shared" si="25"/>
        <v>2.2718812321619986E-2</v>
      </c>
      <c r="AN23" s="34">
        <f t="shared" si="26"/>
        <v>2.7817188621472935E-2</v>
      </c>
      <c r="AO23" s="34">
        <f t="shared" si="27"/>
        <v>0.19836886454162864</v>
      </c>
      <c r="AP23" s="34">
        <f t="shared" si="28"/>
        <v>-5.3784885378438255E-4</v>
      </c>
      <c r="AQ23" s="34">
        <f t="shared" si="29"/>
        <v>-1.9335126245259762E-2</v>
      </c>
      <c r="AR23" s="35">
        <f t="shared" si="30"/>
        <v>5481.6792944763683</v>
      </c>
      <c r="AS23" s="28">
        <f t="shared" si="31"/>
        <v>117.54570502625353</v>
      </c>
      <c r="AT23" s="28">
        <f t="shared" si="32"/>
        <v>-1.1442949737464687</v>
      </c>
      <c r="AU23" s="33">
        <f t="shared" si="33"/>
        <v>-14.320705523631654</v>
      </c>
      <c r="AV23" s="28">
        <f t="shared" si="34"/>
        <v>-1.39374323118304</v>
      </c>
      <c r="AW23" s="33">
        <f t="shared" si="35"/>
        <v>-14.883111327746887</v>
      </c>
    </row>
    <row r="24" spans="1:51" x14ac:dyDescent="0.15">
      <c r="A24" s="43" t="s">
        <v>122</v>
      </c>
      <c r="B24" s="27">
        <v>116</v>
      </c>
      <c r="C24" s="27">
        <v>6</v>
      </c>
      <c r="D24" s="27">
        <v>95</v>
      </c>
      <c r="E24" s="27">
        <v>271</v>
      </c>
      <c r="F24" s="27">
        <v>104</v>
      </c>
      <c r="G24" s="27">
        <v>177</v>
      </c>
      <c r="H24" s="27">
        <f t="shared" si="0"/>
        <v>-12.125301739047796</v>
      </c>
      <c r="I24" s="27">
        <f t="shared" si="1"/>
        <v>115.3645398627197</v>
      </c>
      <c r="J24" s="27">
        <f t="shared" si="2"/>
        <v>94.985531039857165</v>
      </c>
      <c r="K24" s="27">
        <f t="shared" si="3"/>
        <v>1.6579786115419208</v>
      </c>
      <c r="L24" s="27">
        <f t="shared" si="4"/>
        <v>-5.44293944926613</v>
      </c>
      <c r="M24" s="27">
        <f t="shared" si="5"/>
        <v>-103.85747161447568</v>
      </c>
      <c r="N24" s="27">
        <f t="shared" si="6"/>
        <v>0.94199342236985917</v>
      </c>
      <c r="O24" s="27">
        <f t="shared" si="7"/>
        <v>19.484363748420456</v>
      </c>
      <c r="P24" s="27">
        <f t="shared" si="8"/>
        <v>3.0482168486428651E-2</v>
      </c>
      <c r="Q24" s="27">
        <f t="shared" si="9"/>
        <v>6.0212931680782056</v>
      </c>
      <c r="R24" s="27">
        <f t="shared" si="10"/>
        <v>-14.770054152358265</v>
      </c>
      <c r="S24" s="27">
        <f t="shared" si="11"/>
        <v>5.571069888852346</v>
      </c>
      <c r="T24" s="27">
        <f t="shared" si="12"/>
        <v>15.785794860255626</v>
      </c>
      <c r="U24" s="27">
        <f t="shared" si="13"/>
        <v>109.82531932223199</v>
      </c>
      <c r="V24" s="27">
        <f t="shared" si="14"/>
        <v>358.62010143032921</v>
      </c>
      <c r="W24" s="27">
        <f t="shared" si="15"/>
        <v>267.9581112848681</v>
      </c>
      <c r="X24" s="27">
        <f t="shared" si="16"/>
        <v>184.87181652702304</v>
      </c>
      <c r="Y24" s="27">
        <v>99.62</v>
      </c>
      <c r="Z24" s="27">
        <v>0</v>
      </c>
      <c r="AA24" s="28">
        <f t="shared" si="17"/>
        <v>99.62</v>
      </c>
      <c r="AB24" s="28">
        <f t="shared" ref="AB24:AB29" si="36">IF(ISERROR(AA24/factor_for_IAS),"",AA24/factor_for_IAS)</f>
        <v>99.62</v>
      </c>
      <c r="AC24" s="36">
        <v>5556</v>
      </c>
      <c r="AD24" s="27">
        <v>0</v>
      </c>
      <c r="AE24" s="29">
        <v>5463</v>
      </c>
      <c r="AF24" s="30">
        <v>69</v>
      </c>
      <c r="AG24" s="31">
        <f t="shared" ref="AG24:AG36" si="37">U24/factor_for_GPS</f>
        <v>109.82531932223199</v>
      </c>
      <c r="AH24" s="28">
        <f t="shared" si="20"/>
        <v>109.82531932223199</v>
      </c>
      <c r="AI24" s="32">
        <f t="shared" ref="AI24:AI36" si="38">IF(ISERROR(T24/factor_for_GPS),"",T24/factor_for_GPS)</f>
        <v>15.785794860255626</v>
      </c>
      <c r="AJ24" s="33">
        <f t="shared" ref="AJ24:AJ36" si="39">IF(ISERROR(MOD(540-(180/PI()*ATAN2(S24,R24)),360)),"",MOD(540-(180/PI()*ATAN2(S24,R24)),360))</f>
        <v>249.33418522671127</v>
      </c>
      <c r="AK24" s="31">
        <f t="shared" si="23"/>
        <v>292.43457549610031</v>
      </c>
      <c r="AL24" s="34">
        <f t="shared" si="24"/>
        <v>0.16480864865857514</v>
      </c>
      <c r="AM24" s="34">
        <f t="shared" si="25"/>
        <v>1.5966834535293017E-2</v>
      </c>
      <c r="AN24" s="34">
        <f t="shared" si="26"/>
        <v>1.9525773613422087E-2</v>
      </c>
      <c r="AO24" s="34">
        <f t="shared" si="27"/>
        <v>0.166437934468978</v>
      </c>
      <c r="AP24" s="34">
        <f t="shared" si="28"/>
        <v>-3.7572543982198643E-4</v>
      </c>
      <c r="AQ24" s="34">
        <f t="shared" si="29"/>
        <v>-1.9242537953206188E-2</v>
      </c>
      <c r="AR24" s="35">
        <f t="shared" si="30"/>
        <v>5452.9936159995132</v>
      </c>
      <c r="AS24" s="28">
        <f t="shared" si="31"/>
        <v>98.66203820366573</v>
      </c>
      <c r="AT24" s="28">
        <f t="shared" ref="AT24:AT36" si="40">IF(ISERROR(AS24-AA24),"",AS24-AA24)</f>
        <v>-0.95796179633427414</v>
      </c>
      <c r="AU24" s="33">
        <f t="shared" si="33"/>
        <v>-10.006384000486664</v>
      </c>
      <c r="AV24" s="28">
        <f t="shared" si="34"/>
        <v>-1.1655086825968652</v>
      </c>
      <c r="AW24" s="33">
        <f t="shared" si="35"/>
        <v>-10.396905208947498</v>
      </c>
    </row>
    <row r="25" spans="1:51" x14ac:dyDescent="0.15">
      <c r="A25" s="43" t="s">
        <v>123</v>
      </c>
      <c r="B25" s="27">
        <v>92</v>
      </c>
      <c r="C25" s="27">
        <v>177</v>
      </c>
      <c r="D25" s="27">
        <v>109</v>
      </c>
      <c r="E25" s="27">
        <v>87</v>
      </c>
      <c r="F25" s="27">
        <v>100</v>
      </c>
      <c r="G25" s="27">
        <v>359</v>
      </c>
      <c r="H25" s="27">
        <f t="shared" si="0"/>
        <v>-4.814907974350807</v>
      </c>
      <c r="I25" s="27">
        <f t="shared" si="1"/>
        <v>-91.873917197420795</v>
      </c>
      <c r="J25" s="27">
        <f t="shared" si="2"/>
        <v>-108.85061928824855</v>
      </c>
      <c r="K25" s="27">
        <f t="shared" si="3"/>
        <v>5.7046192304808905</v>
      </c>
      <c r="L25" s="27">
        <f t="shared" si="4"/>
        <v>1.7452406437283512</v>
      </c>
      <c r="M25" s="27">
        <f t="shared" si="5"/>
        <v>99.98476951563913</v>
      </c>
      <c r="N25" s="27">
        <f t="shared" si="6"/>
        <v>1.0661741313446231</v>
      </c>
      <c r="O25" s="27">
        <f t="shared" si="7"/>
        <v>17.508973413045268</v>
      </c>
      <c r="P25" s="27">
        <f t="shared" si="8"/>
        <v>-3.4192606706885197E-2</v>
      </c>
      <c r="Q25" s="27">
        <f t="shared" si="9"/>
        <v>4.0029461952306935</v>
      </c>
      <c r="R25" s="27">
        <f t="shared" si="10"/>
        <v>-12.274114393652598</v>
      </c>
      <c r="S25" s="27">
        <f t="shared" si="11"/>
        <v>4.4226301613681738</v>
      </c>
      <c r="T25" s="27">
        <f t="shared" si="12"/>
        <v>13.046591190526104</v>
      </c>
      <c r="U25" s="27">
        <f t="shared" si="13"/>
        <v>96.585013297246277</v>
      </c>
      <c r="V25" s="27">
        <f t="shared" si="14"/>
        <v>184.42933142885784</v>
      </c>
      <c r="W25" s="27">
        <f t="shared" si="15"/>
        <v>89.239481183668659</v>
      </c>
      <c r="X25" s="27">
        <f t="shared" si="16"/>
        <v>351.65401035240689</v>
      </c>
      <c r="Y25" s="27">
        <v>86.67</v>
      </c>
      <c r="Z25" s="27">
        <v>0</v>
      </c>
      <c r="AA25" s="28">
        <f t="shared" si="17"/>
        <v>86.67</v>
      </c>
      <c r="AB25" s="28">
        <f t="shared" si="36"/>
        <v>86.67</v>
      </c>
      <c r="AC25" s="36">
        <v>5554</v>
      </c>
      <c r="AD25" s="27">
        <v>0</v>
      </c>
      <c r="AE25" s="29">
        <v>5390</v>
      </c>
      <c r="AF25" s="30">
        <v>68</v>
      </c>
      <c r="AG25" s="31">
        <f t="shared" si="37"/>
        <v>96.585013297246277</v>
      </c>
      <c r="AH25" s="28">
        <f t="shared" si="20"/>
        <v>96.585013297246277</v>
      </c>
      <c r="AI25" s="32">
        <f t="shared" si="38"/>
        <v>13.046591190526104</v>
      </c>
      <c r="AJ25" s="33">
        <f t="shared" si="39"/>
        <v>250.18480635148433</v>
      </c>
      <c r="AK25" s="31">
        <f t="shared" si="23"/>
        <v>292.1670005486165</v>
      </c>
      <c r="AL25" s="34">
        <f t="shared" si="24"/>
        <v>0.14500602460745635</v>
      </c>
      <c r="AM25" s="34">
        <f t="shared" si="25"/>
        <v>1.2068834226176328E-2</v>
      </c>
      <c r="AN25" s="34">
        <f t="shared" si="26"/>
        <v>1.4718537673941616E-2</v>
      </c>
      <c r="AO25" s="34">
        <f t="shared" si="27"/>
        <v>0.14462667310965802</v>
      </c>
      <c r="AP25" s="34">
        <f t="shared" si="28"/>
        <v>7.6589574519997028E-5</v>
      </c>
      <c r="AQ25" s="34">
        <f t="shared" si="29"/>
        <v>5.2036130366126506E-3</v>
      </c>
      <c r="AR25" s="35">
        <f t="shared" si="30"/>
        <v>5392.0408103520613</v>
      </c>
      <c r="AS25" s="28">
        <f t="shared" si="31"/>
        <v>86.894232138081478</v>
      </c>
      <c r="AT25" s="28">
        <f t="shared" si="40"/>
        <v>0.2242321380814758</v>
      </c>
      <c r="AU25" s="33">
        <f t="shared" si="33"/>
        <v>2.0408103520613237</v>
      </c>
      <c r="AV25" s="28">
        <f t="shared" si="34"/>
        <v>0.27383237607260325</v>
      </c>
      <c r="AW25" s="33">
        <f t="shared" si="35"/>
        <v>2.1193522234089421</v>
      </c>
    </row>
    <row r="26" spans="1:51" x14ac:dyDescent="0.15">
      <c r="A26" s="43" t="s">
        <v>124</v>
      </c>
      <c r="B26" s="27">
        <v>65</v>
      </c>
      <c r="C26" s="27">
        <v>269</v>
      </c>
      <c r="D26" s="27">
        <v>80</v>
      </c>
      <c r="E26" s="27">
        <v>169</v>
      </c>
      <c r="F26" s="27">
        <v>97</v>
      </c>
      <c r="G26" s="27">
        <v>89</v>
      </c>
      <c r="H26" s="27">
        <f t="shared" si="0"/>
        <v>64.990100185165431</v>
      </c>
      <c r="I26" s="27">
        <f t="shared" si="1"/>
        <v>-1.1344064184234259</v>
      </c>
      <c r="J26" s="27">
        <f t="shared" si="2"/>
        <v>-15.264719630123578</v>
      </c>
      <c r="K26" s="27">
        <f t="shared" si="3"/>
        <v>-78.530174675813115</v>
      </c>
      <c r="L26" s="27">
        <f t="shared" si="4"/>
        <v>-96.985226430169959</v>
      </c>
      <c r="M26" s="27">
        <f t="shared" si="5"/>
        <v>1.6928834244164637</v>
      </c>
      <c r="N26" s="27">
        <f t="shared" si="6"/>
        <v>-1.0369406703011355</v>
      </c>
      <c r="O26" s="27">
        <f t="shared" si="7"/>
        <v>-14.051155825256195</v>
      </c>
      <c r="P26" s="27">
        <f t="shared" si="8"/>
        <v>57.289961630760232</v>
      </c>
      <c r="Q26" s="27">
        <f t="shared" si="9"/>
        <v>916.77901597681603</v>
      </c>
      <c r="R26" s="27">
        <f t="shared" si="10"/>
        <v>-15.958848062896939</v>
      </c>
      <c r="S26" s="27">
        <f t="shared" si="11"/>
        <v>2.4972227823181328</v>
      </c>
      <c r="T26" s="27">
        <f t="shared" si="12"/>
        <v>16.153047796597338</v>
      </c>
      <c r="U26" s="27">
        <f t="shared" si="13"/>
        <v>81.030370560174276</v>
      </c>
      <c r="V26" s="27">
        <f t="shared" si="14"/>
        <v>267.43125019618094</v>
      </c>
      <c r="W26" s="27">
        <f t="shared" si="15"/>
        <v>180.49081740316535</v>
      </c>
      <c r="X26" s="27">
        <f t="shared" si="16"/>
        <v>90.568749803819117</v>
      </c>
      <c r="Y26" s="27">
        <v>74.680000000000007</v>
      </c>
      <c r="Z26" s="27">
        <v>0</v>
      </c>
      <c r="AA26" s="28">
        <f t="shared" si="17"/>
        <v>74.680000000000007</v>
      </c>
      <c r="AB26" s="28">
        <f t="shared" si="36"/>
        <v>74.680000000000007</v>
      </c>
      <c r="AC26" s="36">
        <v>5553</v>
      </c>
      <c r="AD26" s="27">
        <v>0</v>
      </c>
      <c r="AE26" s="29">
        <v>5584</v>
      </c>
      <c r="AF26" s="30">
        <v>68</v>
      </c>
      <c r="AG26" s="31">
        <f t="shared" si="37"/>
        <v>81.030370560174276</v>
      </c>
      <c r="AH26" s="28">
        <f t="shared" si="20"/>
        <v>81.030370560174276</v>
      </c>
      <c r="AI26" s="32">
        <f t="shared" si="38"/>
        <v>16.153047796597338</v>
      </c>
      <c r="AJ26" s="33">
        <f t="shared" si="39"/>
        <v>261.1065395807218</v>
      </c>
      <c r="AK26" s="31">
        <f t="shared" si="23"/>
        <v>292.45812213349637</v>
      </c>
      <c r="AL26" s="34">
        <f t="shared" si="24"/>
        <v>0.12159280154377156</v>
      </c>
      <c r="AM26" s="34">
        <f t="shared" si="25"/>
        <v>8.9506930755078873E-3</v>
      </c>
      <c r="AN26" s="34">
        <f t="shared" si="26"/>
        <v>1.0995628577170303E-2</v>
      </c>
      <c r="AO26" s="34">
        <f t="shared" si="27"/>
        <v>0.12508692938761418</v>
      </c>
      <c r="AP26" s="34">
        <f t="shared" si="28"/>
        <v>-6.0152120642349022E-4</v>
      </c>
      <c r="AQ26" s="34">
        <f t="shared" si="29"/>
        <v>-5.4705486112217344E-2</v>
      </c>
      <c r="AR26" s="35">
        <f t="shared" si="30"/>
        <v>5567.9940323770934</v>
      </c>
      <c r="AS26" s="28">
        <f t="shared" si="31"/>
        <v>72.614244330171502</v>
      </c>
      <c r="AT26" s="28">
        <f t="shared" si="40"/>
        <v>-2.0657556698285049</v>
      </c>
      <c r="AU26" s="33">
        <f t="shared" si="33"/>
        <v>-16.005967622906805</v>
      </c>
      <c r="AV26" s="28">
        <f t="shared" si="34"/>
        <v>-2.5014267414560099</v>
      </c>
      <c r="AW26" s="33">
        <f t="shared" si="35"/>
        <v>-16.645024002952283</v>
      </c>
    </row>
    <row r="27" spans="1:51" x14ac:dyDescent="0.15">
      <c r="A27" s="43" t="s">
        <v>125</v>
      </c>
      <c r="B27" s="27">
        <v>74</v>
      </c>
      <c r="C27" s="27">
        <v>1</v>
      </c>
      <c r="D27" s="27">
        <v>54</v>
      </c>
      <c r="E27" s="27">
        <v>260</v>
      </c>
      <c r="F27" s="27">
        <v>70</v>
      </c>
      <c r="G27" s="27">
        <v>157</v>
      </c>
      <c r="H27" s="27">
        <f t="shared" si="0"/>
        <v>-1.2914780763590492</v>
      </c>
      <c r="I27" s="27">
        <f t="shared" si="1"/>
        <v>73.988729441572957</v>
      </c>
      <c r="J27" s="27">
        <f t="shared" si="2"/>
        <v>53.17961866265923</v>
      </c>
      <c r="K27" s="27">
        <f t="shared" si="3"/>
        <v>-9.3770015940142368</v>
      </c>
      <c r="L27" s="27">
        <f t="shared" si="4"/>
        <v>-27.35117899424915</v>
      </c>
      <c r="M27" s="27">
        <f t="shared" si="5"/>
        <v>-64.43533974167083</v>
      </c>
      <c r="N27" s="27">
        <f t="shared" si="6"/>
        <v>0.65339913729978139</v>
      </c>
      <c r="O27" s="27">
        <f t="shared" si="7"/>
        <v>15.354030776190207</v>
      </c>
      <c r="P27" s="27">
        <f t="shared" si="8"/>
        <v>-0.18825989635800006</v>
      </c>
      <c r="Q27" s="27">
        <f t="shared" si="9"/>
        <v>2.080563024185845</v>
      </c>
      <c r="R27" s="27">
        <f t="shared" si="10"/>
        <v>-15.770599757385073</v>
      </c>
      <c r="S27" s="27">
        <f t="shared" si="11"/>
        <v>5.0495345000146585</v>
      </c>
      <c r="T27" s="27">
        <f t="shared" si="12"/>
        <v>16.559275810689076</v>
      </c>
      <c r="U27" s="27">
        <f t="shared" si="13"/>
        <v>70.443293249564462</v>
      </c>
      <c r="V27" s="27">
        <f t="shared" si="14"/>
        <v>348.13871585131722</v>
      </c>
      <c r="W27" s="27">
        <f t="shared" si="15"/>
        <v>258.18241655289603</v>
      </c>
      <c r="X27" s="27">
        <f t="shared" si="16"/>
        <v>170.53786483611498</v>
      </c>
      <c r="Y27" s="27">
        <v>64.23</v>
      </c>
      <c r="Z27" s="27">
        <v>0</v>
      </c>
      <c r="AA27" s="28">
        <f t="shared" si="17"/>
        <v>64.23</v>
      </c>
      <c r="AB27" s="28">
        <f t="shared" si="36"/>
        <v>64.23</v>
      </c>
      <c r="AC27" s="36">
        <v>5541</v>
      </c>
      <c r="AD27" s="27">
        <v>0</v>
      </c>
      <c r="AE27" s="29">
        <v>5529</v>
      </c>
      <c r="AF27" s="30">
        <v>68</v>
      </c>
      <c r="AG27" s="31">
        <f t="shared" si="37"/>
        <v>70.443293249564462</v>
      </c>
      <c r="AH27" s="28">
        <f t="shared" si="20"/>
        <v>70.443293249564462</v>
      </c>
      <c r="AI27" s="32">
        <f t="shared" si="38"/>
        <v>16.559275810689076</v>
      </c>
      <c r="AJ27" s="33">
        <f t="shared" si="39"/>
        <v>252.24563132517301</v>
      </c>
      <c r="AK27" s="31">
        <f t="shared" si="23"/>
        <v>292.62710668452644</v>
      </c>
      <c r="AL27" s="34">
        <f t="shared" si="24"/>
        <v>0.10567548701333759</v>
      </c>
      <c r="AM27" s="34">
        <f t="shared" si="25"/>
        <v>6.6155185730321087E-3</v>
      </c>
      <c r="AN27" s="34">
        <f t="shared" si="26"/>
        <v>8.1101673904494034E-3</v>
      </c>
      <c r="AO27" s="34">
        <f t="shared" si="27"/>
        <v>0.1074827870325146</v>
      </c>
      <c r="AP27" s="34">
        <f t="shared" si="28"/>
        <v>-2.6905741625030333E-4</v>
      </c>
      <c r="AQ27" s="34">
        <f t="shared" si="29"/>
        <v>-3.3175322197066787E-2</v>
      </c>
      <c r="AR27" s="35">
        <f t="shared" si="30"/>
        <v>5521.8377955582382</v>
      </c>
      <c r="AS27" s="28">
        <f t="shared" si="31"/>
        <v>63.157905312335352</v>
      </c>
      <c r="AT27" s="28">
        <f t="shared" si="40"/>
        <v>-1.0720946876646522</v>
      </c>
      <c r="AU27" s="33">
        <f t="shared" si="33"/>
        <v>-7.1622044417616326</v>
      </c>
      <c r="AV27" s="28">
        <f t="shared" si="34"/>
        <v>-1.3030677643880373</v>
      </c>
      <c r="AW27" s="33">
        <f t="shared" si="35"/>
        <v>-7.445235685515696</v>
      </c>
    </row>
    <row r="28" spans="1:51" x14ac:dyDescent="0.15">
      <c r="A28" s="53" t="s">
        <v>126</v>
      </c>
      <c r="B28" s="27">
        <v>48</v>
      </c>
      <c r="C28" s="27">
        <v>277</v>
      </c>
      <c r="D28" s="27">
        <v>63</v>
      </c>
      <c r="E28" s="27">
        <v>162</v>
      </c>
      <c r="F28" s="27">
        <v>79</v>
      </c>
      <c r="G28" s="27">
        <v>86</v>
      </c>
      <c r="H28" s="27">
        <f t="shared" si="0"/>
        <v>47.642215278783453</v>
      </c>
      <c r="I28" s="27">
        <f t="shared" si="1"/>
        <v>5.8497284834470795</v>
      </c>
      <c r="J28" s="27">
        <f t="shared" si="2"/>
        <v>-19.468070645621708</v>
      </c>
      <c r="K28" s="27">
        <f t="shared" si="3"/>
        <v>-59.916560526594672</v>
      </c>
      <c r="L28" s="27">
        <f t="shared" si="4"/>
        <v>-78.807559970526114</v>
      </c>
      <c r="M28" s="27">
        <f t="shared" si="5"/>
        <v>5.5107614257858923</v>
      </c>
      <c r="N28" s="27">
        <f t="shared" si="6"/>
        <v>-1.0204359548728408</v>
      </c>
      <c r="O28" s="27">
        <f t="shared" si="7"/>
        <v>-12.658460930840832</v>
      </c>
      <c r="P28" s="27">
        <f t="shared" si="8"/>
        <v>-373.04443718451779</v>
      </c>
      <c r="Q28" s="27">
        <f t="shared" si="9"/>
        <v>-5807.3489901417033</v>
      </c>
      <c r="R28" s="27">
        <f t="shared" si="10"/>
        <v>-15.576120116061771</v>
      </c>
      <c r="S28" s="27">
        <f t="shared" si="11"/>
        <v>3.2359720730067245</v>
      </c>
      <c r="T28" s="27">
        <f t="shared" si="12"/>
        <v>15.908709348255238</v>
      </c>
      <c r="U28" s="27">
        <f t="shared" si="13"/>
        <v>63.272345085892454</v>
      </c>
      <c r="V28" s="27">
        <f t="shared" si="14"/>
        <v>272.36754045693135</v>
      </c>
      <c r="W28" s="27">
        <f t="shared" si="15"/>
        <v>176.47344825695052</v>
      </c>
      <c r="X28" s="27">
        <f t="shared" si="16"/>
        <v>87.939638187555374</v>
      </c>
      <c r="Y28" s="27">
        <v>59.49</v>
      </c>
      <c r="Z28" s="27">
        <v>0</v>
      </c>
      <c r="AA28" s="28">
        <f t="shared" si="17"/>
        <v>59.49</v>
      </c>
      <c r="AB28" s="28">
        <f t="shared" si="36"/>
        <v>59.49</v>
      </c>
      <c r="AC28" s="36">
        <v>5545</v>
      </c>
      <c r="AD28" s="27">
        <v>0</v>
      </c>
      <c r="AE28" s="29">
        <v>5477</v>
      </c>
      <c r="AF28" s="30">
        <v>67</v>
      </c>
      <c r="AG28" s="31">
        <f t="shared" si="37"/>
        <v>63.272345085892454</v>
      </c>
      <c r="AH28" s="28">
        <f t="shared" si="20"/>
        <v>63.272345085892454</v>
      </c>
      <c r="AI28" s="32">
        <f t="shared" si="38"/>
        <v>15.908709348255238</v>
      </c>
      <c r="AJ28" s="33">
        <f t="shared" si="39"/>
        <v>258.26363026013428</v>
      </c>
      <c r="AK28" s="31">
        <f t="shared" si="23"/>
        <v>292.17259095101258</v>
      </c>
      <c r="AL28" s="34">
        <f t="shared" si="24"/>
        <v>9.4991791576261461E-2</v>
      </c>
      <c r="AM28" s="34">
        <f t="shared" si="25"/>
        <v>5.6732318865884146E-3</v>
      </c>
      <c r="AN28" s="34">
        <f t="shared" si="26"/>
        <v>6.9414190961820605E-3</v>
      </c>
      <c r="AO28" s="34">
        <f t="shared" si="27"/>
        <v>9.9457663013432729E-2</v>
      </c>
      <c r="AP28" s="34">
        <f t="shared" si="28"/>
        <v>-6.0672335724091164E-4</v>
      </c>
      <c r="AQ28" s="34">
        <f t="shared" si="29"/>
        <v>-8.7406241985104077E-2</v>
      </c>
      <c r="AR28" s="35">
        <f t="shared" si="30"/>
        <v>5460.8432561369327</v>
      </c>
      <c r="AS28" s="28">
        <f t="shared" si="31"/>
        <v>56.83485028025963</v>
      </c>
      <c r="AT28" s="28">
        <f t="shared" si="40"/>
        <v>-2.6551497197403719</v>
      </c>
      <c r="AU28" s="33">
        <f t="shared" si="33"/>
        <v>-16.156743863066879</v>
      </c>
      <c r="AV28" s="28">
        <f t="shared" si="34"/>
        <v>-3.1746600250231265</v>
      </c>
      <c r="AW28" s="33">
        <f t="shared" si="35"/>
        <v>-16.78897557822226</v>
      </c>
    </row>
    <row r="29" spans="1:51" s="79" customFormat="1" x14ac:dyDescent="0.15">
      <c r="A29" s="67" t="s">
        <v>127</v>
      </c>
      <c r="B29" s="68">
        <v>41</v>
      </c>
      <c r="C29" s="68">
        <v>268</v>
      </c>
      <c r="D29" s="68">
        <v>58</v>
      </c>
      <c r="E29" s="68">
        <v>158</v>
      </c>
      <c r="F29" s="68">
        <v>73</v>
      </c>
      <c r="G29" s="68">
        <v>82</v>
      </c>
      <c r="H29" s="68">
        <f t="shared" si="0"/>
        <v>40.975023907782926</v>
      </c>
      <c r="I29" s="68">
        <f t="shared" si="1"/>
        <v>-1.43087936480253</v>
      </c>
      <c r="J29" s="68">
        <f t="shared" si="2"/>
        <v>-21.727182418122897</v>
      </c>
      <c r="K29" s="68">
        <f t="shared" si="3"/>
        <v>-53.776663564873672</v>
      </c>
      <c r="L29" s="68">
        <f t="shared" si="4"/>
        <v>-72.289569018134642</v>
      </c>
      <c r="M29" s="68">
        <f t="shared" si="5"/>
        <v>10.15963637008478</v>
      </c>
      <c r="N29" s="68">
        <f t="shared" si="6"/>
        <v>-1.197846345872885</v>
      </c>
      <c r="O29" s="68">
        <f t="shared" si="7"/>
        <v>-16.075793167673215</v>
      </c>
      <c r="P29" s="68">
        <f t="shared" si="8"/>
        <v>9.7721788673296501</v>
      </c>
      <c r="Q29" s="68">
        <f t="shared" si="9"/>
        <v>157.37004648635116</v>
      </c>
      <c r="R29" s="68">
        <f t="shared" si="10"/>
        <v>-15.810887968177191</v>
      </c>
      <c r="S29" s="68">
        <f t="shared" si="11"/>
        <v>2.8632212100133962</v>
      </c>
      <c r="T29" s="68">
        <f t="shared" si="12"/>
        <v>16.068049478381653</v>
      </c>
      <c r="U29" s="68">
        <f t="shared" si="13"/>
        <v>56.948038485367888</v>
      </c>
      <c r="V29" s="68">
        <f t="shared" si="14"/>
        <v>265.67557387063152</v>
      </c>
      <c r="W29" s="68">
        <f t="shared" si="15"/>
        <v>174.0368192118915</v>
      </c>
      <c r="X29" s="68">
        <f t="shared" si="16"/>
        <v>82.638796383688089</v>
      </c>
      <c r="Y29" s="68">
        <v>53.02</v>
      </c>
      <c r="Z29" s="68">
        <v>0</v>
      </c>
      <c r="AA29" s="69">
        <f t="shared" si="17"/>
        <v>53.02</v>
      </c>
      <c r="AB29" s="69">
        <f t="shared" si="36"/>
        <v>53.02</v>
      </c>
      <c r="AC29" s="70">
        <v>5555</v>
      </c>
      <c r="AD29" s="68">
        <v>0</v>
      </c>
      <c r="AE29" s="71">
        <v>5471</v>
      </c>
      <c r="AF29" s="72">
        <v>67</v>
      </c>
      <c r="AG29" s="73">
        <f t="shared" si="37"/>
        <v>56.948038485367888</v>
      </c>
      <c r="AH29" s="69">
        <f t="shared" si="20"/>
        <v>56.948038485367888</v>
      </c>
      <c r="AI29" s="74">
        <f t="shared" si="38"/>
        <v>16.068049478381653</v>
      </c>
      <c r="AJ29" s="75">
        <f t="shared" si="39"/>
        <v>259.73544883196962</v>
      </c>
      <c r="AK29" s="73">
        <f t="shared" si="23"/>
        <v>292.25270797581101</v>
      </c>
      <c r="AL29" s="76">
        <f t="shared" si="24"/>
        <v>8.5485288421712324E-2</v>
      </c>
      <c r="AM29" s="76">
        <f t="shared" si="25"/>
        <v>4.5044469990425107E-3</v>
      </c>
      <c r="AN29" s="76">
        <f t="shared" si="26"/>
        <v>5.5101238942106886E-3</v>
      </c>
      <c r="AO29" s="76">
        <f t="shared" si="27"/>
        <v>8.8635002184119002E-2</v>
      </c>
      <c r="AP29" s="76">
        <f t="shared" si="28"/>
        <v>-3.8331928163001631E-4</v>
      </c>
      <c r="AQ29" s="76">
        <f t="shared" si="29"/>
        <v>-6.9566363477372564E-2</v>
      </c>
      <c r="AR29" s="77">
        <f t="shared" si="30"/>
        <v>5460.791958945546</v>
      </c>
      <c r="AS29" s="69">
        <f t="shared" si="31"/>
        <v>51.14504195639806</v>
      </c>
      <c r="AT29" s="69">
        <f t="shared" si="40"/>
        <v>-1.8749580436019428</v>
      </c>
      <c r="AU29" s="75">
        <f t="shared" si="33"/>
        <v>-10.20804105445424</v>
      </c>
      <c r="AV29" s="69">
        <f t="shared" si="34"/>
        <v>-2.2523306851084151</v>
      </c>
      <c r="AW29" s="75">
        <f t="shared" si="35"/>
        <v>-10.607038580505291</v>
      </c>
    </row>
    <row r="30" spans="1:51" x14ac:dyDescent="0.15">
      <c r="A30" s="4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8"/>
      <c r="AB30" s="28"/>
      <c r="AC30" s="36"/>
      <c r="AD30" s="27"/>
      <c r="AE30" s="29"/>
      <c r="AF30" s="30"/>
      <c r="AG30" s="31">
        <f t="shared" si="37"/>
        <v>0</v>
      </c>
      <c r="AH30" s="28">
        <f t="shared" si="20"/>
        <v>0</v>
      </c>
      <c r="AI30" s="32">
        <f t="shared" si="38"/>
        <v>0</v>
      </c>
      <c r="AJ30" s="33" t="str">
        <f t="shared" si="39"/>
        <v/>
      </c>
      <c r="AK30" s="31">
        <f t="shared" si="23"/>
        <v>255.37222222222221</v>
      </c>
      <c r="AL30" s="34">
        <f t="shared" si="24"/>
        <v>0</v>
      </c>
      <c r="AM30" s="34">
        <f t="shared" si="25"/>
        <v>0</v>
      </c>
      <c r="AN30" s="34">
        <f t="shared" si="26"/>
        <v>0</v>
      </c>
      <c r="AO30" s="34">
        <f t="shared" si="27"/>
        <v>0</v>
      </c>
      <c r="AP30" s="34">
        <f t="shared" si="28"/>
        <v>0</v>
      </c>
      <c r="AQ30" s="34" t="e">
        <f t="shared" si="29"/>
        <v>#DIV/0!</v>
      </c>
      <c r="AR30" s="35">
        <f t="shared" si="30"/>
        <v>0</v>
      </c>
      <c r="AS30" s="28">
        <f t="shared" si="31"/>
        <v>0</v>
      </c>
      <c r="AT30" s="28">
        <f t="shared" si="40"/>
        <v>0</v>
      </c>
      <c r="AU30" s="33">
        <f t="shared" si="33"/>
        <v>0</v>
      </c>
      <c r="AV30" s="28" t="str">
        <f t="shared" si="34"/>
        <v/>
      </c>
      <c r="AW30" s="33">
        <f t="shared" si="35"/>
        <v>0</v>
      </c>
    </row>
    <row r="31" spans="1:51" x14ac:dyDescent="0.15">
      <c r="A31" s="4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8"/>
      <c r="AB31" s="28"/>
      <c r="AC31" s="36"/>
      <c r="AD31" s="27"/>
      <c r="AE31" s="29"/>
      <c r="AF31" s="30"/>
      <c r="AG31" s="31">
        <f t="shared" si="37"/>
        <v>0</v>
      </c>
      <c r="AH31" s="28">
        <f t="shared" si="20"/>
        <v>0</v>
      </c>
      <c r="AI31" s="32">
        <f t="shared" si="38"/>
        <v>0</v>
      </c>
      <c r="AJ31" s="33" t="str">
        <f t="shared" si="39"/>
        <v/>
      </c>
      <c r="AK31" s="31">
        <f t="shared" si="23"/>
        <v>255.37222222222221</v>
      </c>
      <c r="AL31" s="34">
        <f t="shared" si="24"/>
        <v>0</v>
      </c>
      <c r="AM31" s="34">
        <f t="shared" si="25"/>
        <v>0</v>
      </c>
      <c r="AN31" s="34">
        <f t="shared" si="26"/>
        <v>0</v>
      </c>
      <c r="AO31" s="34">
        <f t="shared" si="27"/>
        <v>0</v>
      </c>
      <c r="AP31" s="34">
        <f t="shared" si="28"/>
        <v>0</v>
      </c>
      <c r="AQ31" s="34" t="e">
        <f t="shared" si="29"/>
        <v>#DIV/0!</v>
      </c>
      <c r="AR31" s="35">
        <f t="shared" si="30"/>
        <v>0</v>
      </c>
      <c r="AS31" s="28">
        <f t="shared" si="31"/>
        <v>0</v>
      </c>
      <c r="AT31" s="28">
        <f t="shared" si="40"/>
        <v>0</v>
      </c>
      <c r="AU31" s="33">
        <f t="shared" si="33"/>
        <v>0</v>
      </c>
      <c r="AV31" s="28" t="str">
        <f t="shared" si="34"/>
        <v/>
      </c>
      <c r="AW31" s="33">
        <f t="shared" si="35"/>
        <v>0</v>
      </c>
    </row>
    <row r="32" spans="1:51" x14ac:dyDescent="0.15">
      <c r="A32" s="4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  <c r="AB32" s="28"/>
      <c r="AC32" s="36"/>
      <c r="AD32" s="27"/>
      <c r="AE32" s="29"/>
      <c r="AF32" s="30"/>
      <c r="AG32" s="31">
        <f t="shared" si="37"/>
        <v>0</v>
      </c>
      <c r="AH32" s="28">
        <f t="shared" si="20"/>
        <v>0</v>
      </c>
      <c r="AI32" s="32">
        <f t="shared" si="38"/>
        <v>0</v>
      </c>
      <c r="AJ32" s="33" t="str">
        <f t="shared" si="39"/>
        <v/>
      </c>
      <c r="AK32" s="31">
        <f t="shared" si="23"/>
        <v>255.37222222222221</v>
      </c>
      <c r="AL32" s="34">
        <f t="shared" si="24"/>
        <v>0</v>
      </c>
      <c r="AM32" s="34">
        <f t="shared" si="25"/>
        <v>0</v>
      </c>
      <c r="AN32" s="34">
        <f t="shared" si="26"/>
        <v>0</v>
      </c>
      <c r="AO32" s="34">
        <f t="shared" si="27"/>
        <v>0</v>
      </c>
      <c r="AP32" s="34">
        <f t="shared" si="28"/>
        <v>0</v>
      </c>
      <c r="AQ32" s="34" t="e">
        <f t="shared" si="29"/>
        <v>#DIV/0!</v>
      </c>
      <c r="AR32" s="35">
        <f t="shared" si="30"/>
        <v>0</v>
      </c>
      <c r="AS32" s="28">
        <f t="shared" si="31"/>
        <v>0</v>
      </c>
      <c r="AT32" s="28">
        <f t="shared" si="40"/>
        <v>0</v>
      </c>
      <c r="AU32" s="33">
        <f t="shared" si="33"/>
        <v>0</v>
      </c>
      <c r="AV32" s="28" t="str">
        <f t="shared" si="34"/>
        <v/>
      </c>
      <c r="AW32" s="33">
        <f t="shared" si="35"/>
        <v>0</v>
      </c>
    </row>
    <row r="33" spans="1:51" x14ac:dyDescent="0.15">
      <c r="A33" s="4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8"/>
      <c r="AB33" s="28"/>
      <c r="AC33" s="36"/>
      <c r="AD33" s="27"/>
      <c r="AE33" s="29"/>
      <c r="AF33" s="30"/>
      <c r="AG33" s="31">
        <f t="shared" si="37"/>
        <v>0</v>
      </c>
      <c r="AH33" s="28">
        <f t="shared" si="20"/>
        <v>0</v>
      </c>
      <c r="AI33" s="32">
        <f t="shared" si="38"/>
        <v>0</v>
      </c>
      <c r="AJ33" s="33" t="str">
        <f t="shared" si="39"/>
        <v/>
      </c>
      <c r="AK33" s="31">
        <f t="shared" si="23"/>
        <v>255.37222222222221</v>
      </c>
      <c r="AL33" s="34">
        <f t="shared" si="24"/>
        <v>0</v>
      </c>
      <c r="AM33" s="34">
        <f t="shared" si="25"/>
        <v>0</v>
      </c>
      <c r="AN33" s="34">
        <f t="shared" si="26"/>
        <v>0</v>
      </c>
      <c r="AO33" s="34">
        <f t="shared" si="27"/>
        <v>0</v>
      </c>
      <c r="AP33" s="34">
        <f t="shared" si="28"/>
        <v>0</v>
      </c>
      <c r="AQ33" s="34" t="e">
        <f t="shared" si="29"/>
        <v>#DIV/0!</v>
      </c>
      <c r="AR33" s="35">
        <f t="shared" si="30"/>
        <v>0</v>
      </c>
      <c r="AS33" s="28">
        <f t="shared" si="31"/>
        <v>0</v>
      </c>
      <c r="AT33" s="28">
        <f t="shared" si="40"/>
        <v>0</v>
      </c>
      <c r="AU33" s="33">
        <f t="shared" si="33"/>
        <v>0</v>
      </c>
      <c r="AV33" s="28" t="str">
        <f t="shared" si="34"/>
        <v/>
      </c>
      <c r="AW33" s="33">
        <f t="shared" si="35"/>
        <v>0</v>
      </c>
    </row>
    <row r="34" spans="1:51" x14ac:dyDescent="0.15">
      <c r="A34" s="4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8"/>
      <c r="AB34" s="28"/>
      <c r="AC34" s="36"/>
      <c r="AD34" s="27"/>
      <c r="AE34" s="29"/>
      <c r="AF34" s="30"/>
      <c r="AG34" s="31">
        <f t="shared" si="37"/>
        <v>0</v>
      </c>
      <c r="AH34" s="28">
        <f t="shared" si="20"/>
        <v>0</v>
      </c>
      <c r="AI34" s="32">
        <f t="shared" si="38"/>
        <v>0</v>
      </c>
      <c r="AJ34" s="33" t="str">
        <f t="shared" si="39"/>
        <v/>
      </c>
      <c r="AK34" s="31">
        <f t="shared" si="23"/>
        <v>255.37222222222221</v>
      </c>
      <c r="AL34" s="34">
        <f t="shared" si="24"/>
        <v>0</v>
      </c>
      <c r="AM34" s="34">
        <f t="shared" si="25"/>
        <v>0</v>
      </c>
      <c r="AN34" s="34">
        <f t="shared" si="26"/>
        <v>0</v>
      </c>
      <c r="AO34" s="34">
        <f t="shared" si="27"/>
        <v>0</v>
      </c>
      <c r="AP34" s="34">
        <f t="shared" si="28"/>
        <v>0</v>
      </c>
      <c r="AQ34" s="34" t="e">
        <f t="shared" si="29"/>
        <v>#DIV/0!</v>
      </c>
      <c r="AR34" s="35">
        <f t="shared" si="30"/>
        <v>0</v>
      </c>
      <c r="AS34" s="28">
        <f t="shared" si="31"/>
        <v>0</v>
      </c>
      <c r="AT34" s="28">
        <f t="shared" si="40"/>
        <v>0</v>
      </c>
      <c r="AU34" s="33">
        <f t="shared" si="33"/>
        <v>0</v>
      </c>
      <c r="AV34" s="28" t="str">
        <f t="shared" si="34"/>
        <v/>
      </c>
      <c r="AW34" s="33">
        <f t="shared" si="35"/>
        <v>0</v>
      </c>
    </row>
    <row r="35" spans="1:51" x14ac:dyDescent="0.15">
      <c r="A35" s="5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8"/>
      <c r="AB35" s="28"/>
      <c r="AC35" s="36"/>
      <c r="AD35" s="27"/>
      <c r="AE35" s="29"/>
      <c r="AF35" s="30"/>
      <c r="AG35" s="31">
        <f t="shared" si="37"/>
        <v>0</v>
      </c>
      <c r="AH35" s="28">
        <f t="shared" si="20"/>
        <v>0</v>
      </c>
      <c r="AI35" s="32">
        <f t="shared" si="38"/>
        <v>0</v>
      </c>
      <c r="AJ35" s="33" t="str">
        <f t="shared" si="39"/>
        <v/>
      </c>
      <c r="AK35" s="31">
        <f t="shared" si="23"/>
        <v>255.37222222222221</v>
      </c>
      <c r="AL35" s="34">
        <f t="shared" si="24"/>
        <v>0</v>
      </c>
      <c r="AM35" s="34">
        <f t="shared" si="25"/>
        <v>0</v>
      </c>
      <c r="AN35" s="34">
        <f t="shared" si="26"/>
        <v>0</v>
      </c>
      <c r="AO35" s="34">
        <f t="shared" si="27"/>
        <v>0</v>
      </c>
      <c r="AP35" s="34">
        <f t="shared" si="28"/>
        <v>0</v>
      </c>
      <c r="AQ35" s="34" t="e">
        <f t="shared" si="29"/>
        <v>#DIV/0!</v>
      </c>
      <c r="AR35" s="35">
        <f t="shared" si="30"/>
        <v>0</v>
      </c>
      <c r="AS35" s="28">
        <f t="shared" si="31"/>
        <v>0</v>
      </c>
      <c r="AT35" s="28">
        <f t="shared" si="40"/>
        <v>0</v>
      </c>
      <c r="AU35" s="33">
        <f t="shared" si="33"/>
        <v>0</v>
      </c>
      <c r="AV35" s="28" t="str">
        <f t="shared" si="34"/>
        <v/>
      </c>
      <c r="AW35" s="33">
        <f t="shared" si="35"/>
        <v>0</v>
      </c>
    </row>
    <row r="36" spans="1:51" s="79" customFormat="1" x14ac:dyDescent="0.15">
      <c r="A36" s="80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9"/>
      <c r="AB36" s="69"/>
      <c r="AC36" s="70"/>
      <c r="AD36" s="68"/>
      <c r="AE36" s="71"/>
      <c r="AF36" s="72"/>
      <c r="AG36" s="73">
        <f t="shared" si="37"/>
        <v>0</v>
      </c>
      <c r="AH36" s="69">
        <f t="shared" si="20"/>
        <v>0</v>
      </c>
      <c r="AI36" s="74">
        <f t="shared" si="38"/>
        <v>0</v>
      </c>
      <c r="AJ36" s="75" t="str">
        <f t="shared" si="39"/>
        <v/>
      </c>
      <c r="AK36" s="73">
        <f t="shared" si="23"/>
        <v>255.37222222222221</v>
      </c>
      <c r="AL36" s="76">
        <f t="shared" si="24"/>
        <v>0</v>
      </c>
      <c r="AM36" s="76">
        <f t="shared" si="25"/>
        <v>0</v>
      </c>
      <c r="AN36" s="76">
        <f t="shared" si="26"/>
        <v>0</v>
      </c>
      <c r="AO36" s="76">
        <f t="shared" si="27"/>
        <v>0</v>
      </c>
      <c r="AP36" s="76">
        <f t="shared" si="28"/>
        <v>0</v>
      </c>
      <c r="AQ36" s="76" t="e">
        <f t="shared" si="29"/>
        <v>#DIV/0!</v>
      </c>
      <c r="AR36" s="77">
        <f t="shared" si="30"/>
        <v>0</v>
      </c>
      <c r="AS36" s="69">
        <f t="shared" si="31"/>
        <v>0</v>
      </c>
      <c r="AT36" s="69">
        <f t="shared" si="40"/>
        <v>0</v>
      </c>
      <c r="AU36" s="75">
        <f t="shared" si="33"/>
        <v>0</v>
      </c>
      <c r="AV36" s="69" t="str">
        <f t="shared" si="34"/>
        <v/>
      </c>
      <c r="AW36" s="75">
        <f t="shared" si="35"/>
        <v>0</v>
      </c>
    </row>
    <row r="37" spans="1:51" x14ac:dyDescent="0.1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6"/>
      <c r="AB37" s="46"/>
      <c r="AC37" s="47"/>
      <c r="AD37" s="45"/>
      <c r="AE37" s="29"/>
      <c r="AF37" s="48"/>
      <c r="AG37" s="49">
        <f t="shared" ref="AG37:AG42" si="41">U37/factor_for_GPS</f>
        <v>0</v>
      </c>
      <c r="AH37" s="46">
        <f t="shared" si="20"/>
        <v>0</v>
      </c>
      <c r="AI37" s="50">
        <f t="shared" ref="AI37:AI42" si="42">IF(ISERROR(T37/factor_for_GPS),"",T37/factor_for_GPS)</f>
        <v>0</v>
      </c>
      <c r="AJ37" s="51" t="str">
        <f t="shared" ref="AJ37:AJ42" si="43">IF(ISERROR(MOD(540-(180/PI()*ATAN2(S37,R37)),360)),"",MOD(540-(180/PI()*ATAN2(S37,R37)),360))</f>
        <v/>
      </c>
      <c r="AK37" s="38">
        <f t="shared" si="23"/>
        <v>255.37222222222221</v>
      </c>
      <c r="AL37" s="39">
        <f t="shared" si="24"/>
        <v>0</v>
      </c>
      <c r="AM37" s="39">
        <f t="shared" si="25"/>
        <v>0</v>
      </c>
      <c r="AN37" s="39">
        <f t="shared" si="26"/>
        <v>0</v>
      </c>
      <c r="AO37" s="39">
        <f t="shared" si="27"/>
        <v>0</v>
      </c>
      <c r="AP37" s="39">
        <f t="shared" si="28"/>
        <v>0</v>
      </c>
      <c r="AQ37" s="39" t="e">
        <f t="shared" si="29"/>
        <v>#DIV/0!</v>
      </c>
      <c r="AR37" s="40">
        <f t="shared" si="30"/>
        <v>0</v>
      </c>
      <c r="AS37" s="46">
        <f t="shared" si="31"/>
        <v>0</v>
      </c>
      <c r="AT37" s="52">
        <f t="shared" ref="AT37:AT42" si="44">IF(ISERROR(AS37-AA37),"",AS37-AA37)</f>
        <v>0</v>
      </c>
      <c r="AU37" s="51">
        <f t="shared" si="33"/>
        <v>0</v>
      </c>
      <c r="AV37" s="52" t="str">
        <f t="shared" si="34"/>
        <v/>
      </c>
      <c r="AW37" s="51">
        <f t="shared" si="35"/>
        <v>0</v>
      </c>
      <c r="AY37" s="34"/>
    </row>
    <row r="38" spans="1:5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6"/>
      <c r="AB38" s="46"/>
      <c r="AC38" s="47"/>
      <c r="AD38" s="45"/>
      <c r="AE38" s="29"/>
      <c r="AF38" s="48"/>
      <c r="AG38" s="49">
        <f t="shared" si="41"/>
        <v>0</v>
      </c>
      <c r="AH38" s="46">
        <f t="shared" si="20"/>
        <v>0</v>
      </c>
      <c r="AI38" s="50">
        <f t="shared" si="42"/>
        <v>0</v>
      </c>
      <c r="AJ38" s="51" t="str">
        <f t="shared" si="43"/>
        <v/>
      </c>
      <c r="AK38" s="38">
        <f t="shared" si="23"/>
        <v>255.37222222222221</v>
      </c>
      <c r="AL38" s="39">
        <f t="shared" si="24"/>
        <v>0</v>
      </c>
      <c r="AM38" s="39">
        <f t="shared" si="25"/>
        <v>0</v>
      </c>
      <c r="AN38" s="39">
        <f t="shared" si="26"/>
        <v>0</v>
      </c>
      <c r="AO38" s="39">
        <f t="shared" si="27"/>
        <v>0</v>
      </c>
      <c r="AP38" s="39">
        <f t="shared" si="28"/>
        <v>0</v>
      </c>
      <c r="AQ38" s="39" t="e">
        <f t="shared" si="29"/>
        <v>#DIV/0!</v>
      </c>
      <c r="AR38" s="40">
        <f t="shared" si="30"/>
        <v>0</v>
      </c>
      <c r="AS38" s="46">
        <f t="shared" si="31"/>
        <v>0</v>
      </c>
      <c r="AT38" s="52">
        <f t="shared" si="44"/>
        <v>0</v>
      </c>
      <c r="AU38" s="51">
        <f t="shared" si="33"/>
        <v>0</v>
      </c>
      <c r="AV38" s="52" t="str">
        <f t="shared" si="34"/>
        <v/>
      </c>
      <c r="AW38" s="51">
        <f t="shared" si="35"/>
        <v>0</v>
      </c>
      <c r="AY38" s="34"/>
    </row>
    <row r="39" spans="1:51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6"/>
      <c r="AB39" s="46"/>
      <c r="AC39" s="47"/>
      <c r="AD39" s="45"/>
      <c r="AE39" s="29"/>
      <c r="AF39" s="48"/>
      <c r="AG39" s="49">
        <f t="shared" si="41"/>
        <v>0</v>
      </c>
      <c r="AH39" s="46">
        <f t="shared" si="20"/>
        <v>0</v>
      </c>
      <c r="AI39" s="50">
        <f t="shared" si="42"/>
        <v>0</v>
      </c>
      <c r="AJ39" s="51" t="str">
        <f t="shared" si="43"/>
        <v/>
      </c>
      <c r="AK39" s="38">
        <f t="shared" si="23"/>
        <v>255.37222222222221</v>
      </c>
      <c r="AL39" s="39">
        <f t="shared" si="24"/>
        <v>0</v>
      </c>
      <c r="AM39" s="39">
        <f t="shared" si="25"/>
        <v>0</v>
      </c>
      <c r="AN39" s="39">
        <f t="shared" si="26"/>
        <v>0</v>
      </c>
      <c r="AO39" s="39">
        <f t="shared" si="27"/>
        <v>0</v>
      </c>
      <c r="AP39" s="39">
        <f t="shared" si="28"/>
        <v>0</v>
      </c>
      <c r="AQ39" s="39" t="e">
        <f t="shared" si="29"/>
        <v>#DIV/0!</v>
      </c>
      <c r="AR39" s="40">
        <f t="shared" si="30"/>
        <v>0</v>
      </c>
      <c r="AS39" s="46">
        <f t="shared" si="31"/>
        <v>0</v>
      </c>
      <c r="AT39" s="52">
        <f t="shared" si="44"/>
        <v>0</v>
      </c>
      <c r="AU39" s="51">
        <f t="shared" si="33"/>
        <v>0</v>
      </c>
      <c r="AV39" s="52" t="str">
        <f t="shared" si="34"/>
        <v/>
      </c>
      <c r="AW39" s="51">
        <f t="shared" si="35"/>
        <v>0</v>
      </c>
      <c r="AY39" s="34"/>
    </row>
    <row r="40" spans="1:51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6"/>
      <c r="AB40" s="46"/>
      <c r="AC40" s="47"/>
      <c r="AD40" s="45"/>
      <c r="AE40" s="29"/>
      <c r="AF40" s="48"/>
      <c r="AG40" s="49">
        <f t="shared" ref="AG40" si="45">U40/factor_for_GPS</f>
        <v>0</v>
      </c>
      <c r="AH40" s="46">
        <f t="shared" si="20"/>
        <v>0</v>
      </c>
      <c r="AI40" s="50">
        <f t="shared" ref="AI40" si="46">IF(ISERROR(T40/factor_for_GPS),"",T40/factor_for_GPS)</f>
        <v>0</v>
      </c>
      <c r="AJ40" s="51" t="str">
        <f t="shared" ref="AJ40" si="47">IF(ISERROR(MOD(540-(180/PI()*ATAN2(S40,R40)),360)),"",MOD(540-(180/PI()*ATAN2(S40,R40)),360))</f>
        <v/>
      </c>
      <c r="AK40" s="38">
        <f t="shared" si="23"/>
        <v>255.37222222222221</v>
      </c>
      <c r="AL40" s="39">
        <f t="shared" si="24"/>
        <v>0</v>
      </c>
      <c r="AM40" s="39">
        <f t="shared" si="25"/>
        <v>0</v>
      </c>
      <c r="AN40" s="39">
        <f t="shared" si="26"/>
        <v>0</v>
      </c>
      <c r="AO40" s="39">
        <f t="shared" si="27"/>
        <v>0</v>
      </c>
      <c r="AP40" s="39">
        <f t="shared" si="28"/>
        <v>0</v>
      </c>
      <c r="AQ40" s="39" t="e">
        <f t="shared" si="29"/>
        <v>#DIV/0!</v>
      </c>
      <c r="AR40" s="40">
        <f t="shared" si="30"/>
        <v>0</v>
      </c>
      <c r="AS40" s="46">
        <f t="shared" si="31"/>
        <v>0</v>
      </c>
      <c r="AT40" s="52">
        <f t="shared" ref="AT40" si="48">IF(ISERROR(AS40-AA40),"",AS40-AA40)</f>
        <v>0</v>
      </c>
      <c r="AU40" s="51">
        <f t="shared" si="33"/>
        <v>0</v>
      </c>
      <c r="AV40" s="52" t="str">
        <f t="shared" si="34"/>
        <v/>
      </c>
      <c r="AW40" s="51">
        <f t="shared" si="35"/>
        <v>0</v>
      </c>
      <c r="AY40" s="34"/>
    </row>
    <row r="41" spans="1:51" x14ac:dyDescent="0.1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6"/>
      <c r="AB41" s="46"/>
      <c r="AC41" s="47"/>
      <c r="AD41" s="45"/>
      <c r="AE41" s="29"/>
      <c r="AF41" s="48"/>
      <c r="AG41" s="49">
        <f t="shared" si="41"/>
        <v>0</v>
      </c>
      <c r="AH41" s="46">
        <f t="shared" si="20"/>
        <v>0</v>
      </c>
      <c r="AI41" s="50">
        <f t="shared" si="42"/>
        <v>0</v>
      </c>
      <c r="AJ41" s="51" t="str">
        <f t="shared" si="43"/>
        <v/>
      </c>
      <c r="AK41" s="38">
        <f t="shared" si="23"/>
        <v>255.37222222222221</v>
      </c>
      <c r="AL41" s="39">
        <f t="shared" si="24"/>
        <v>0</v>
      </c>
      <c r="AM41" s="39">
        <f t="shared" si="25"/>
        <v>0</v>
      </c>
      <c r="AN41" s="39">
        <f t="shared" si="26"/>
        <v>0</v>
      </c>
      <c r="AO41" s="39">
        <f t="shared" si="27"/>
        <v>0</v>
      </c>
      <c r="AP41" s="39">
        <f t="shared" si="28"/>
        <v>0</v>
      </c>
      <c r="AQ41" s="39" t="e">
        <f t="shared" si="29"/>
        <v>#DIV/0!</v>
      </c>
      <c r="AR41" s="40">
        <f t="shared" si="30"/>
        <v>0</v>
      </c>
      <c r="AS41" s="46">
        <f t="shared" si="31"/>
        <v>0</v>
      </c>
      <c r="AT41" s="52">
        <f t="shared" si="44"/>
        <v>0</v>
      </c>
      <c r="AU41" s="51">
        <f t="shared" si="33"/>
        <v>0</v>
      </c>
      <c r="AV41" s="52" t="str">
        <f t="shared" si="34"/>
        <v/>
      </c>
      <c r="AW41" s="51">
        <f t="shared" si="35"/>
        <v>0</v>
      </c>
      <c r="AY41" s="34"/>
    </row>
    <row r="42" spans="1:51" x14ac:dyDescent="0.1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6"/>
      <c r="AB42" s="46"/>
      <c r="AC42" s="47"/>
      <c r="AD42" s="45"/>
      <c r="AE42" s="29"/>
      <c r="AF42" s="48"/>
      <c r="AG42" s="49">
        <f t="shared" si="41"/>
        <v>0</v>
      </c>
      <c r="AH42" s="46">
        <f t="shared" si="20"/>
        <v>0</v>
      </c>
      <c r="AI42" s="50">
        <f t="shared" si="42"/>
        <v>0</v>
      </c>
      <c r="AJ42" s="51" t="str">
        <f t="shared" si="43"/>
        <v/>
      </c>
      <c r="AK42" s="38">
        <f t="shared" si="23"/>
        <v>255.37222222222221</v>
      </c>
      <c r="AL42" s="39">
        <f t="shared" si="24"/>
        <v>0</v>
      </c>
      <c r="AM42" s="39">
        <f t="shared" si="25"/>
        <v>0</v>
      </c>
      <c r="AN42" s="39">
        <f t="shared" si="26"/>
        <v>0</v>
      </c>
      <c r="AO42" s="39">
        <f t="shared" si="27"/>
        <v>0</v>
      </c>
      <c r="AP42" s="39">
        <f t="shared" si="28"/>
        <v>0</v>
      </c>
      <c r="AQ42" s="39" t="e">
        <f t="shared" si="29"/>
        <v>#DIV/0!</v>
      </c>
      <c r="AR42" s="40">
        <f t="shared" si="30"/>
        <v>0</v>
      </c>
      <c r="AS42" s="46">
        <f t="shared" si="31"/>
        <v>0</v>
      </c>
      <c r="AT42" s="52">
        <f t="shared" si="44"/>
        <v>0</v>
      </c>
      <c r="AU42" s="51">
        <f t="shared" si="33"/>
        <v>0</v>
      </c>
      <c r="AV42" s="52" t="str">
        <f t="shared" si="34"/>
        <v/>
      </c>
      <c r="AW42" s="51">
        <f t="shared" si="35"/>
        <v>0</v>
      </c>
      <c r="AY42" s="34"/>
    </row>
  </sheetData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A4" sqref="A4"/>
    </sheetView>
  </sheetViews>
  <sheetFormatPr baseColWidth="10" defaultColWidth="8.83203125" defaultRowHeight="13" x14ac:dyDescent="0.15"/>
  <cols>
    <col min="1" max="1" width="25.83203125" customWidth="1"/>
  </cols>
  <sheetData>
    <row r="1" spans="1:2" x14ac:dyDescent="0.15">
      <c r="A1" s="37" t="s">
        <v>96</v>
      </c>
    </row>
    <row r="2" spans="1:2" x14ac:dyDescent="0.15">
      <c r="A2" s="37"/>
    </row>
    <row r="3" spans="1:2" x14ac:dyDescent="0.15">
      <c r="A3" s="37" t="s">
        <v>97</v>
      </c>
    </row>
    <row r="4" spans="1:2" x14ac:dyDescent="0.15">
      <c r="A4" t="s">
        <v>98</v>
      </c>
    </row>
    <row r="5" spans="1:2" x14ac:dyDescent="0.15">
      <c r="A5" s="37"/>
    </row>
    <row r="6" spans="1:2" x14ac:dyDescent="0.15">
      <c r="A6" s="1" t="s">
        <v>1</v>
      </c>
    </row>
    <row r="7" spans="1:2" x14ac:dyDescent="0.15">
      <c r="A7" t="s">
        <v>11</v>
      </c>
      <c r="B7" t="s">
        <v>99</v>
      </c>
    </row>
    <row r="8" spans="1:2" x14ac:dyDescent="0.15">
      <c r="A8" t="s">
        <v>13</v>
      </c>
      <c r="B8" t="s">
        <v>100</v>
      </c>
    </row>
    <row r="9" spans="1:2" x14ac:dyDescent="0.15">
      <c r="A9" t="s">
        <v>16</v>
      </c>
      <c r="B9" t="s">
        <v>101</v>
      </c>
    </row>
    <row r="10" spans="1:2" x14ac:dyDescent="0.15">
      <c r="A10" s="4" t="s">
        <v>18</v>
      </c>
      <c r="B10" t="s">
        <v>102</v>
      </c>
    </row>
    <row r="11" spans="1:2" x14ac:dyDescent="0.15">
      <c r="A11" s="4" t="s">
        <v>20</v>
      </c>
      <c r="B11" t="s">
        <v>21</v>
      </c>
    </row>
    <row r="13" spans="1:2" x14ac:dyDescent="0.15">
      <c r="A13" s="1" t="s">
        <v>22</v>
      </c>
    </row>
    <row r="14" spans="1:2" x14ac:dyDescent="0.15">
      <c r="A14" t="s">
        <v>55</v>
      </c>
      <c r="B14" t="s">
        <v>103</v>
      </c>
    </row>
    <row r="15" spans="1:2" x14ac:dyDescent="0.15">
      <c r="A15" t="s">
        <v>104</v>
      </c>
      <c r="B15" t="s">
        <v>105</v>
      </c>
    </row>
    <row r="16" spans="1:2" x14ac:dyDescent="0.15">
      <c r="A16" t="s">
        <v>106</v>
      </c>
      <c r="B16" t="s">
        <v>105</v>
      </c>
    </row>
    <row r="18" spans="1:2" x14ac:dyDescent="0.15">
      <c r="A18" s="1" t="s">
        <v>23</v>
      </c>
    </row>
    <row r="19" spans="1:2" x14ac:dyDescent="0.15">
      <c r="A19" t="s">
        <v>61</v>
      </c>
      <c r="B19" t="s">
        <v>107</v>
      </c>
    </row>
    <row r="20" spans="1:2" x14ac:dyDescent="0.15">
      <c r="A20" t="s">
        <v>108</v>
      </c>
      <c r="B20" t="s">
        <v>109</v>
      </c>
    </row>
    <row r="21" spans="1:2" x14ac:dyDescent="0.15">
      <c r="A21" t="s">
        <v>110</v>
      </c>
      <c r="B21" t="s">
        <v>111</v>
      </c>
    </row>
    <row r="23" spans="1:2" x14ac:dyDescent="0.15">
      <c r="A23" t="s">
        <v>112</v>
      </c>
    </row>
    <row r="24" spans="1:2" x14ac:dyDescent="0.15">
      <c r="A24" t="s">
        <v>113</v>
      </c>
    </row>
    <row r="25" spans="1:2" x14ac:dyDescent="0.15">
      <c r="A25" t="s">
        <v>114</v>
      </c>
    </row>
    <row r="26" spans="1:2" x14ac:dyDescent="0.15">
      <c r="A26" t="s">
        <v>115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26</vt:i4>
      </vt:variant>
    </vt:vector>
  </HeadingPairs>
  <TitlesOfParts>
    <vt:vector size="28" baseType="lpstr">
      <vt:lpstr>Static system calibration</vt:lpstr>
      <vt:lpstr>Notes</vt:lpstr>
      <vt:lpstr>as0</vt:lpstr>
      <vt:lpstr>dHic</vt:lpstr>
      <vt:lpstr>dHpc</vt:lpstr>
      <vt:lpstr>dPp_over_Ps</vt:lpstr>
      <vt:lpstr>dVic</vt:lpstr>
      <vt:lpstr>factor_for_GPS</vt:lpstr>
      <vt:lpstr>factor_for_IAS</vt:lpstr>
      <vt:lpstr>GPS_units</vt:lpstr>
      <vt:lpstr>H_std_altitude</vt:lpstr>
      <vt:lpstr>Hc</vt:lpstr>
      <vt:lpstr>Hi</vt:lpstr>
      <vt:lpstr>Hic</vt:lpstr>
      <vt:lpstr>IAS_units</vt:lpstr>
      <vt:lpstr>K</vt:lpstr>
      <vt:lpstr>M</vt:lpstr>
      <vt:lpstr>Mic</vt:lpstr>
      <vt:lpstr>P_0</vt:lpstr>
      <vt:lpstr>qcic_over_Ps</vt:lpstr>
      <vt:lpstr>qcic_over_Psl</vt:lpstr>
      <vt:lpstr>T_0</vt:lpstr>
      <vt:lpstr>Ta</vt:lpstr>
      <vt:lpstr>temp_units</vt:lpstr>
      <vt:lpstr>Ti</vt:lpstr>
      <vt:lpstr>Vi</vt:lpstr>
      <vt:lpstr>Vic</vt:lpstr>
      <vt:lpstr>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Horton</dc:creator>
  <cp:lastModifiedBy>Michael Vaccaro</cp:lastModifiedBy>
  <cp:lastPrinted>2020-02-09T01:13:18Z</cp:lastPrinted>
  <dcterms:created xsi:type="dcterms:W3CDTF">2004-02-08T12:38:04Z</dcterms:created>
  <dcterms:modified xsi:type="dcterms:W3CDTF">2020-06-22T23:15:44Z</dcterms:modified>
</cp:coreProperties>
</file>