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aelvaccaro/Desktop/Mar 2021/4 Mar 21 Data/"/>
    </mc:Choice>
  </mc:AlternateContent>
  <xr:revisionPtr revIDLastSave="0" documentId="13_ncr:1_{BF402394-ED8B-E542-AFC3-62CA890B1271}" xr6:coauthVersionLast="46" xr6:coauthVersionMax="46" xr10:uidLastSave="{00000000-0000-0000-0000-000000000000}"/>
  <bookViews>
    <workbookView xWindow="0" yWindow="460" windowWidth="25600" windowHeight="14260" activeTab="2" xr2:uid="{00000000-000D-0000-FFFF-FFFF00000000}"/>
  </bookViews>
  <sheets>
    <sheet name="Template" sheetId="1" r:id="rId1"/>
    <sheet name="Notes" sheetId="2" r:id="rId2"/>
    <sheet name="CAS Curve" sheetId="3" r:id="rId3"/>
  </sheets>
  <definedNames>
    <definedName name="as0">Template!$B$6</definedName>
    <definedName name="dHic">Template!$AD$21:$AD$35</definedName>
    <definedName name="dHpc">Template!$AU$21:$AU$35</definedName>
    <definedName name="dPp_over_Ps">Template!$AP$21:$AP$35</definedName>
    <definedName name="dVic">Template!$Z$21:$Z$35</definedName>
    <definedName name="dVpc">Template!#REF!</definedName>
    <definedName name="factor_for_GPS">Template!$B$11</definedName>
    <definedName name="factor_for_IAS">Template!$B$9</definedName>
    <definedName name="GPS_units">Template!$B$10</definedName>
    <definedName name="H_std_altitude">Template!$B$13</definedName>
    <definedName name="Hc">Template!$AR$21:$AR$35</definedName>
    <definedName name="Hi">Template!$AC$21:$AC$35</definedName>
    <definedName name="Hic">Template!$AE$21:$AE$35</definedName>
    <definedName name="IAS_units">Template!$B$8</definedName>
    <definedName name="K">Template!$B$7</definedName>
    <definedName name="M">Template!$AL$21:$AL$35</definedName>
    <definedName name="Mic">Template!$AO$21:$AO$35</definedName>
    <definedName name="P_0">Template!$B$4</definedName>
    <definedName name="qcic_over_Ps">Template!$AN$21:$AN$35</definedName>
    <definedName name="qcic_over_Psl">Template!$AM$21:$AM$35</definedName>
    <definedName name="T_0">Template!$B$5</definedName>
    <definedName name="Ta">Template!$AK$21:$AK$35</definedName>
    <definedName name="temp_units">Template!$B$12</definedName>
    <definedName name="Ti">Template!$AF$21:$AF$35</definedName>
    <definedName name="Vi">Template!$Y$21:$Y$35</definedName>
    <definedName name="Vic">Template!$AB$21:$AB$35</definedName>
    <definedName name="Vt">Template!$AG$21:$AG$35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3" l="1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AE30" i="1" l="1"/>
  <c r="AA30" i="1"/>
  <c r="M30" i="1"/>
  <c r="L30" i="1"/>
  <c r="K30" i="1"/>
  <c r="J30" i="1"/>
  <c r="I30" i="1"/>
  <c r="H30" i="1"/>
  <c r="AE31" i="1"/>
  <c r="AA31" i="1"/>
  <c r="M31" i="1"/>
  <c r="L31" i="1"/>
  <c r="K31" i="1"/>
  <c r="J31" i="1"/>
  <c r="I31" i="1"/>
  <c r="H31" i="1"/>
  <c r="AE33" i="1"/>
  <c r="AA33" i="1"/>
  <c r="M33" i="1"/>
  <c r="L33" i="1"/>
  <c r="K33" i="1"/>
  <c r="J33" i="1"/>
  <c r="I33" i="1"/>
  <c r="H33" i="1"/>
  <c r="AE26" i="1"/>
  <c r="AA26" i="1"/>
  <c r="M26" i="1"/>
  <c r="L26" i="1"/>
  <c r="K26" i="1"/>
  <c r="J26" i="1"/>
  <c r="I26" i="1"/>
  <c r="H26" i="1"/>
  <c r="N30" i="1" l="1"/>
  <c r="O30" i="1" s="1"/>
  <c r="P30" i="1"/>
  <c r="Q30" i="1" s="1"/>
  <c r="N31" i="1"/>
  <c r="O31" i="1" s="1"/>
  <c r="P31" i="1"/>
  <c r="Q31" i="1" s="1"/>
  <c r="N33" i="1"/>
  <c r="O33" i="1" s="1"/>
  <c r="P33" i="1"/>
  <c r="Q33" i="1" s="1"/>
  <c r="P26" i="1"/>
  <c r="Q26" i="1" s="1"/>
  <c r="N26" i="1"/>
  <c r="O26" i="1" s="1"/>
  <c r="AE29" i="1"/>
  <c r="AE28" i="1"/>
  <c r="AE27" i="1"/>
  <c r="AE25" i="1"/>
  <c r="AE24" i="1"/>
  <c r="AE23" i="1"/>
  <c r="AE22" i="1"/>
  <c r="R30" i="1" l="1"/>
  <c r="S30" i="1"/>
  <c r="R33" i="1"/>
  <c r="R31" i="1"/>
  <c r="R26" i="1"/>
  <c r="AA29" i="1"/>
  <c r="M29" i="1"/>
  <c r="L29" i="1"/>
  <c r="K29" i="1"/>
  <c r="J29" i="1"/>
  <c r="I29" i="1"/>
  <c r="H29" i="1"/>
  <c r="AA28" i="1"/>
  <c r="M28" i="1"/>
  <c r="L28" i="1"/>
  <c r="K28" i="1"/>
  <c r="J28" i="1"/>
  <c r="I28" i="1"/>
  <c r="H28" i="1"/>
  <c r="AA27" i="1"/>
  <c r="M27" i="1"/>
  <c r="L27" i="1"/>
  <c r="K27" i="1"/>
  <c r="J27" i="1"/>
  <c r="I27" i="1"/>
  <c r="H27" i="1"/>
  <c r="AA25" i="1"/>
  <c r="M25" i="1"/>
  <c r="L25" i="1"/>
  <c r="K25" i="1"/>
  <c r="J25" i="1"/>
  <c r="I25" i="1"/>
  <c r="H25" i="1"/>
  <c r="AA24" i="1"/>
  <c r="M24" i="1"/>
  <c r="L24" i="1"/>
  <c r="K24" i="1"/>
  <c r="J24" i="1"/>
  <c r="I24" i="1"/>
  <c r="H24" i="1"/>
  <c r="X30" i="1" l="1"/>
  <c r="AJ30" i="1"/>
  <c r="W30" i="1"/>
  <c r="V30" i="1"/>
  <c r="U30" i="1"/>
  <c r="T30" i="1"/>
  <c r="S33" i="1"/>
  <c r="U33" i="1" s="1"/>
  <c r="S31" i="1"/>
  <c r="U31" i="1" s="1"/>
  <c r="S26" i="1"/>
  <c r="P27" i="1"/>
  <c r="Q27" i="1" s="1"/>
  <c r="P29" i="1"/>
  <c r="Q29" i="1" s="1"/>
  <c r="N28" i="1"/>
  <c r="O28" i="1" s="1"/>
  <c r="P28" i="1"/>
  <c r="Q28" i="1" s="1"/>
  <c r="N27" i="1"/>
  <c r="O27" i="1" s="1"/>
  <c r="P25" i="1"/>
  <c r="Q25" i="1" s="1"/>
  <c r="N25" i="1"/>
  <c r="O25" i="1" s="1"/>
  <c r="P24" i="1"/>
  <c r="Q24" i="1" s="1"/>
  <c r="N24" i="1"/>
  <c r="O24" i="1" s="1"/>
  <c r="N29" i="1"/>
  <c r="X33" i="1" l="1"/>
  <c r="T33" i="1"/>
  <c r="V33" i="1"/>
  <c r="W33" i="1"/>
  <c r="AJ33" i="1"/>
  <c r="X31" i="1"/>
  <c r="AJ31" i="1"/>
  <c r="W31" i="1"/>
  <c r="V31" i="1"/>
  <c r="T31" i="1"/>
  <c r="X26" i="1"/>
  <c r="AJ26" i="1"/>
  <c r="W26" i="1"/>
  <c r="V26" i="1"/>
  <c r="U26" i="1"/>
  <c r="T26" i="1"/>
  <c r="R28" i="1"/>
  <c r="S28" i="1" s="1"/>
  <c r="R25" i="1"/>
  <c r="S25" i="1" s="1"/>
  <c r="T25" i="1" s="1"/>
  <c r="R24" i="1"/>
  <c r="S24" i="1" s="1"/>
  <c r="O29" i="1"/>
  <c r="R29" i="1" s="1"/>
  <c r="R27" i="1"/>
  <c r="H21" i="1"/>
  <c r="I21" i="1"/>
  <c r="J21" i="1"/>
  <c r="K21" i="1"/>
  <c r="L21" i="1"/>
  <c r="M21" i="1"/>
  <c r="AA21" i="1"/>
  <c r="AE21" i="1"/>
  <c r="H22" i="1"/>
  <c r="I22" i="1"/>
  <c r="J22" i="1"/>
  <c r="K22" i="1"/>
  <c r="L22" i="1"/>
  <c r="M22" i="1"/>
  <c r="AA22" i="1"/>
  <c r="H23" i="1"/>
  <c r="I23" i="1"/>
  <c r="J23" i="1"/>
  <c r="K23" i="1"/>
  <c r="L23" i="1"/>
  <c r="M23" i="1"/>
  <c r="AA23" i="1"/>
  <c r="B9" i="1"/>
  <c r="B11" i="1"/>
  <c r="AG33" i="1" s="1"/>
  <c r="B19" i="1"/>
  <c r="D19" i="1"/>
  <c r="F19" i="1"/>
  <c r="T19" i="1"/>
  <c r="U19" i="1"/>
  <c r="Y19" i="1"/>
  <c r="Z19" i="1"/>
  <c r="AA19" i="1"/>
  <c r="AF19" i="1"/>
  <c r="AH19" i="1"/>
  <c r="AS19" i="1"/>
  <c r="AT19" i="1"/>
  <c r="AV19" i="1"/>
  <c r="AB30" i="1" l="1"/>
  <c r="AM30" i="1" s="1"/>
  <c r="AN30" i="1" s="1"/>
  <c r="AO30" i="1" s="1"/>
  <c r="AG30" i="1"/>
  <c r="AH30" i="1" s="1"/>
  <c r="AI30" i="1"/>
  <c r="AI26" i="1"/>
  <c r="AG31" i="1"/>
  <c r="AH31" i="1" s="1"/>
  <c r="AB31" i="1"/>
  <c r="AM31" i="1" s="1"/>
  <c r="AN31" i="1" s="1"/>
  <c r="AO31" i="1" s="1"/>
  <c r="AI31" i="1"/>
  <c r="AH33" i="1"/>
  <c r="AB33" i="1"/>
  <c r="AM33" i="1" s="1"/>
  <c r="AN33" i="1" s="1"/>
  <c r="AO33" i="1" s="1"/>
  <c r="AB26" i="1"/>
  <c r="AM26" i="1" s="1"/>
  <c r="AN26" i="1" s="1"/>
  <c r="AO26" i="1" s="1"/>
  <c r="AG26" i="1"/>
  <c r="AH26" i="1" s="1"/>
  <c r="AK33" i="1"/>
  <c r="AL33" i="1" s="1"/>
  <c r="AI33" i="1"/>
  <c r="AK26" i="1"/>
  <c r="AL26" i="1" s="1"/>
  <c r="AB25" i="1"/>
  <c r="AM25" i="1" s="1"/>
  <c r="AN25" i="1" s="1"/>
  <c r="AO25" i="1" s="1"/>
  <c r="AB29" i="1"/>
  <c r="AM29" i="1" s="1"/>
  <c r="AN29" i="1" s="1"/>
  <c r="AO29" i="1" s="1"/>
  <c r="AB24" i="1"/>
  <c r="AM24" i="1" s="1"/>
  <c r="AN24" i="1" s="1"/>
  <c r="AO24" i="1" s="1"/>
  <c r="AB27" i="1"/>
  <c r="AM27" i="1" s="1"/>
  <c r="AN27" i="1" s="1"/>
  <c r="AO27" i="1" s="1"/>
  <c r="AB28" i="1"/>
  <c r="AM28" i="1" s="1"/>
  <c r="AN28" i="1" s="1"/>
  <c r="AO28" i="1" s="1"/>
  <c r="AI25" i="1"/>
  <c r="T28" i="1"/>
  <c r="AI28" i="1" s="1"/>
  <c r="U28" i="1"/>
  <c r="AG28" i="1" s="1"/>
  <c r="AH28" i="1" s="1"/>
  <c r="U25" i="1"/>
  <c r="AG25" i="1" s="1"/>
  <c r="AH25" i="1" s="1"/>
  <c r="T24" i="1"/>
  <c r="AI24" i="1" s="1"/>
  <c r="U24" i="1"/>
  <c r="AG24" i="1" s="1"/>
  <c r="AK24" i="1" s="1"/>
  <c r="AL24" i="1" s="1"/>
  <c r="S29" i="1"/>
  <c r="T29" i="1" s="1"/>
  <c r="AI29" i="1" s="1"/>
  <c r="S27" i="1"/>
  <c r="X28" i="1"/>
  <c r="AJ28" i="1"/>
  <c r="W28" i="1"/>
  <c r="V28" i="1"/>
  <c r="X25" i="1"/>
  <c r="AJ25" i="1"/>
  <c r="W25" i="1"/>
  <c r="V25" i="1"/>
  <c r="X24" i="1"/>
  <c r="AJ24" i="1"/>
  <c r="W24" i="1"/>
  <c r="V24" i="1"/>
  <c r="N21" i="1"/>
  <c r="O21" i="1" s="1"/>
  <c r="P22" i="1"/>
  <c r="Q22" i="1" s="1"/>
  <c r="N22" i="1"/>
  <c r="O22" i="1" s="1"/>
  <c r="P23" i="1"/>
  <c r="Q23" i="1" s="1"/>
  <c r="AB21" i="1"/>
  <c r="AM21" i="1" s="1"/>
  <c r="AN21" i="1" s="1"/>
  <c r="AO21" i="1" s="1"/>
  <c r="P21" i="1"/>
  <c r="Q21" i="1" s="1"/>
  <c r="AB23" i="1"/>
  <c r="AM23" i="1" s="1"/>
  <c r="AN23" i="1" s="1"/>
  <c r="AO23" i="1" s="1"/>
  <c r="AB22" i="1"/>
  <c r="AM22" i="1" s="1"/>
  <c r="AN22" i="1" s="1"/>
  <c r="AO22" i="1" s="1"/>
  <c r="N23" i="1"/>
  <c r="AK30" i="1" l="1"/>
  <c r="AL30" i="1" s="1"/>
  <c r="AP30" i="1" s="1"/>
  <c r="AP26" i="1"/>
  <c r="AW26" i="1" s="1"/>
  <c r="AK31" i="1"/>
  <c r="AL31" i="1" s="1"/>
  <c r="AP31" i="1" s="1"/>
  <c r="AP33" i="1"/>
  <c r="AP24" i="1"/>
  <c r="AU24" i="1" s="1"/>
  <c r="AR24" i="1" s="1"/>
  <c r="AS24" i="1" s="1"/>
  <c r="AT24" i="1" s="1"/>
  <c r="AK28" i="1"/>
  <c r="AL28" i="1" s="1"/>
  <c r="AP28" i="1" s="1"/>
  <c r="AU28" i="1" s="1"/>
  <c r="AR28" i="1" s="1"/>
  <c r="AS28" i="1" s="1"/>
  <c r="AT28" i="1" s="1"/>
  <c r="AK25" i="1"/>
  <c r="AL25" i="1" s="1"/>
  <c r="AP25" i="1" s="1"/>
  <c r="AQ25" i="1" s="1"/>
  <c r="R22" i="1"/>
  <c r="S22" i="1" s="1"/>
  <c r="U22" i="1" s="1"/>
  <c r="AG22" i="1" s="1"/>
  <c r="U29" i="1"/>
  <c r="AG29" i="1" s="1"/>
  <c r="AH29" i="1" s="1"/>
  <c r="AH24" i="1"/>
  <c r="X27" i="1"/>
  <c r="AJ27" i="1"/>
  <c r="W27" i="1"/>
  <c r="V27" i="1"/>
  <c r="U27" i="1"/>
  <c r="AG27" i="1" s="1"/>
  <c r="T27" i="1"/>
  <c r="AI27" i="1" s="1"/>
  <c r="AJ29" i="1"/>
  <c r="W29" i="1"/>
  <c r="V29" i="1"/>
  <c r="X29" i="1"/>
  <c r="R21" i="1"/>
  <c r="S21" i="1" s="1"/>
  <c r="O23" i="1"/>
  <c r="R23" i="1" s="1"/>
  <c r="S23" i="1" s="1"/>
  <c r="AW30" i="1" l="1"/>
  <c r="AQ30" i="1"/>
  <c r="AU30" i="1"/>
  <c r="AR30" i="1" s="1"/>
  <c r="AS30" i="1" s="1"/>
  <c r="AT30" i="1" s="1"/>
  <c r="AV30" i="1"/>
  <c r="AV26" i="1"/>
  <c r="AQ26" i="1"/>
  <c r="AW31" i="1"/>
  <c r="AQ31" i="1"/>
  <c r="AU31" i="1"/>
  <c r="AR31" i="1" s="1"/>
  <c r="AS31" i="1" s="1"/>
  <c r="AT31" i="1" s="1"/>
  <c r="AV31" i="1"/>
  <c r="AU26" i="1"/>
  <c r="AR26" i="1" s="1"/>
  <c r="AS26" i="1" s="1"/>
  <c r="AT26" i="1" s="1"/>
  <c r="AW33" i="1"/>
  <c r="AQ33" i="1"/>
  <c r="AU33" i="1"/>
  <c r="AR33" i="1" s="1"/>
  <c r="AS33" i="1" s="1"/>
  <c r="AT33" i="1" s="1"/>
  <c r="AV33" i="1"/>
  <c r="AV24" i="1"/>
  <c r="AK29" i="1"/>
  <c r="AL29" i="1" s="1"/>
  <c r="AP29" i="1" s="1"/>
  <c r="AQ29" i="1" s="1"/>
  <c r="AW24" i="1"/>
  <c r="AQ24" i="1"/>
  <c r="AV28" i="1"/>
  <c r="AW28" i="1"/>
  <c r="AQ28" i="1"/>
  <c r="AV25" i="1"/>
  <c r="AW25" i="1"/>
  <c r="AU25" i="1"/>
  <c r="AR25" i="1" s="1"/>
  <c r="AS25" i="1" s="1"/>
  <c r="AT25" i="1" s="1"/>
  <c r="AH27" i="1"/>
  <c r="AK27" i="1"/>
  <c r="AL27" i="1" s="1"/>
  <c r="AP27" i="1" s="1"/>
  <c r="T21" i="1"/>
  <c r="AI21" i="1" s="1"/>
  <c r="U21" i="1"/>
  <c r="AG21" i="1" s="1"/>
  <c r="AK21" i="1" s="1"/>
  <c r="AL21" i="1" s="1"/>
  <c r="AP21" i="1" s="1"/>
  <c r="AH22" i="1"/>
  <c r="AK22" i="1"/>
  <c r="AL22" i="1" s="1"/>
  <c r="AP22" i="1" s="1"/>
  <c r="V23" i="1"/>
  <c r="X23" i="1"/>
  <c r="AJ23" i="1"/>
  <c r="W23" i="1"/>
  <c r="T23" i="1"/>
  <c r="AI23" i="1" s="1"/>
  <c r="U23" i="1"/>
  <c r="AG23" i="1" s="1"/>
  <c r="W22" i="1"/>
  <c r="AJ22" i="1"/>
  <c r="V22" i="1"/>
  <c r="X22" i="1"/>
  <c r="T22" i="1"/>
  <c r="AI22" i="1" s="1"/>
  <c r="X21" i="1"/>
  <c r="W21" i="1"/>
  <c r="AJ21" i="1"/>
  <c r="V21" i="1"/>
  <c r="AU29" i="1" l="1"/>
  <c r="AR29" i="1" s="1"/>
  <c r="AS29" i="1" s="1"/>
  <c r="AT29" i="1" s="1"/>
  <c r="AW29" i="1"/>
  <c r="AV29" i="1"/>
  <c r="AW27" i="1"/>
  <c r="AV27" i="1"/>
  <c r="AQ27" i="1"/>
  <c r="AU27" i="1"/>
  <c r="AR27" i="1" s="1"/>
  <c r="AS27" i="1" s="1"/>
  <c r="AT27" i="1" s="1"/>
  <c r="AH21" i="1"/>
  <c r="AW21" i="1"/>
  <c r="AV21" i="1"/>
  <c r="AQ21" i="1"/>
  <c r="AU21" i="1"/>
  <c r="AR21" i="1" s="1"/>
  <c r="AS21" i="1" s="1"/>
  <c r="AT21" i="1" s="1"/>
  <c r="AV22" i="1"/>
  <c r="AQ22" i="1"/>
  <c r="AU22" i="1"/>
  <c r="AR22" i="1" s="1"/>
  <c r="AS22" i="1" s="1"/>
  <c r="AT22" i="1" s="1"/>
  <c r="AW22" i="1"/>
  <c r="AH23" i="1"/>
  <c r="AK23" i="1"/>
  <c r="AL23" i="1" s="1"/>
  <c r="AP23" i="1" s="1"/>
  <c r="AQ23" i="1" l="1"/>
  <c r="AW23" i="1"/>
  <c r="AV23" i="1"/>
  <c r="AU23" i="1"/>
  <c r="AR23" i="1" s="1"/>
  <c r="AS23" i="1" s="1"/>
  <c r="AT23" i="1" s="1"/>
</calcChain>
</file>

<file path=xl/sharedStrings.xml><?xml version="1.0" encoding="utf-8"?>
<sst xmlns="http://schemas.openxmlformats.org/spreadsheetml/2006/main" count="170" uniqueCount="125">
  <si>
    <t>Determining Static System Error - Version 1.0.5</t>
  </si>
  <si>
    <t>CONSTANTS</t>
  </si>
  <si>
    <t>P_0</t>
  </si>
  <si>
    <t>lb/ft^2</t>
  </si>
  <si>
    <t>standard pressure</t>
  </si>
  <si>
    <t>T_0</t>
  </si>
  <si>
    <t>deg K</t>
  </si>
  <si>
    <t>amout to add to Celsius to get Kelvin</t>
  </si>
  <si>
    <t>as0</t>
  </si>
  <si>
    <t>kt</t>
  </si>
  <si>
    <t>speed of sound</t>
  </si>
  <si>
    <t>K</t>
  </si>
  <si>
    <t>recovery factor of temperature probe</t>
  </si>
  <si>
    <t>IAS units</t>
  </si>
  <si>
    <t>enter kt, mph or km/h</t>
  </si>
  <si>
    <t>factor for IAS</t>
  </si>
  <si>
    <t>GPS units</t>
  </si>
  <si>
    <t>factor for GPS</t>
  </si>
  <si>
    <t>temp units</t>
  </si>
  <si>
    <t>C</t>
  </si>
  <si>
    <t>enter F or C (degrees Celsius or Fahrenheit)</t>
  </si>
  <si>
    <t>Reference altitude</t>
  </si>
  <si>
    <t>altitude to correct data to</t>
  </si>
  <si>
    <t>INPUTS</t>
  </si>
  <si>
    <t>OUTPUTS</t>
  </si>
  <si>
    <t>Errors due to static system position error</t>
  </si>
  <si>
    <t>GPS data</t>
  </si>
  <si>
    <t>Airspeed</t>
  </si>
  <si>
    <t>Altimeter</t>
  </si>
  <si>
    <t>OAT</t>
  </si>
  <si>
    <t>Test Condition</t>
  </si>
  <si>
    <t>Reference Condition</t>
  </si>
  <si>
    <t>Run</t>
  </si>
  <si>
    <t>GPS GS 1</t>
  </si>
  <si>
    <t>Track 1</t>
  </si>
  <si>
    <t>GPS GS 2</t>
  </si>
  <si>
    <t>Track 2</t>
  </si>
  <si>
    <t>GPS GS 3</t>
  </si>
  <si>
    <t>Track 3</t>
  </si>
  <si>
    <t>X1</t>
  </si>
  <si>
    <t>Y1</t>
  </si>
  <si>
    <t>X2</t>
  </si>
  <si>
    <t>Y2</t>
  </si>
  <si>
    <t>X3</t>
  </si>
  <si>
    <t>Y3</t>
  </si>
  <si>
    <t>M1</t>
  </si>
  <si>
    <t>B1</t>
  </si>
  <si>
    <t>M2</t>
  </si>
  <si>
    <t>B2</t>
  </si>
  <si>
    <t>WX</t>
  </si>
  <si>
    <t>WY</t>
  </si>
  <si>
    <t>Wind Speed</t>
  </si>
  <si>
    <t>Vt</t>
  </si>
  <si>
    <t>heading 1</t>
  </si>
  <si>
    <t>heading 2</t>
  </si>
  <si>
    <t>heading 3</t>
  </si>
  <si>
    <t>IAS</t>
  </si>
  <si>
    <t>instrument error</t>
  </si>
  <si>
    <t>IAS corrected for instrument error</t>
  </si>
  <si>
    <t>Indicated Pressure Altitude</t>
  </si>
  <si>
    <t>Pressure altitude corrected for instrument error</t>
  </si>
  <si>
    <t>Indicated OAT</t>
  </si>
  <si>
    <t>TAS</t>
  </si>
  <si>
    <t>Wind Direction</t>
  </si>
  <si>
    <t>Ambient Temperature</t>
  </si>
  <si>
    <t>Mach</t>
  </si>
  <si>
    <t>Indicated Mach</t>
  </si>
  <si>
    <t>Pressure altitude</t>
  </si>
  <si>
    <t>Calibrated Airspeed (CAS) at test condition</t>
  </si>
  <si>
    <t>CAS error at test condition</t>
  </si>
  <si>
    <t>Altitude error at test condition</t>
  </si>
  <si>
    <t>Approximate CAS error at reference condition</t>
  </si>
  <si>
    <t>Approximate altitude error at reference condition</t>
  </si>
  <si>
    <t>symbol</t>
  </si>
  <si>
    <t>Vi</t>
  </si>
  <si>
    <t>dVic</t>
  </si>
  <si>
    <t>Vic</t>
  </si>
  <si>
    <t>Hi</t>
  </si>
  <si>
    <t>dHic</t>
  </si>
  <si>
    <t>Hic</t>
  </si>
  <si>
    <t>Ti</t>
  </si>
  <si>
    <t>Ta</t>
  </si>
  <si>
    <t>M</t>
  </si>
  <si>
    <t>qcic/Psl</t>
  </si>
  <si>
    <t>qcic/Ps</t>
  </si>
  <si>
    <t>Mic</t>
  </si>
  <si>
    <t>dPp/Ps</t>
  </si>
  <si>
    <t>dPp/qcic</t>
  </si>
  <si>
    <t>Hc</t>
  </si>
  <si>
    <t>Vc</t>
  </si>
  <si>
    <t>dVpc</t>
  </si>
  <si>
    <t>dHpc</t>
  </si>
  <si>
    <t>(deg)</t>
  </si>
  <si>
    <t>(kt)</t>
  </si>
  <si>
    <t>(ft)</t>
  </si>
  <si>
    <t>(deg K)</t>
  </si>
  <si>
    <t>T</t>
  </si>
  <si>
    <t>by Kevin Horton, khorton01@rogers.com</t>
  </si>
  <si>
    <t>Complete documentation, including Version History, is available at http://members.rogers.com/khorton/rvlinks/ssec.html</t>
  </si>
  <si>
    <t>Lots more info at http://go.phpwebhosting.com/~khorton/rv8/phplinks/index.php?PID=47</t>
  </si>
  <si>
    <t>recovery factor for outside air temperature indicator.  Assume 0.8 if the manufacturer does not specify another value</t>
  </si>
  <si>
    <t>enter kt, mph or km/h as required to match your airspeed indicator</t>
  </si>
  <si>
    <t>enter kt, mph or km/h as required to match the ground speed display of your GPS</t>
  </si>
  <si>
    <t>enter C or F as required to match your outside temperature indicator</t>
  </si>
  <si>
    <t>indicated airspeed</t>
  </si>
  <si>
    <t>airspeed instrument error</t>
  </si>
  <si>
    <t>positive if the actual value is higher than the indicated value</t>
  </si>
  <si>
    <t>altimeter instrument error</t>
  </si>
  <si>
    <t>calculated true airspeed from GPS data</t>
  </si>
  <si>
    <t>CAS</t>
  </si>
  <si>
    <t>calculated calibrated airspeed (this would equal the IAS if there was no instrument error or position error)</t>
  </si>
  <si>
    <t>CAS error</t>
  </si>
  <si>
    <t>error in CAS due to position error</t>
  </si>
  <si>
    <t>If you put in corrections for airspeed indicator instrument error, the spreadsheet can calculate the error in CAS due to position error.</t>
  </si>
  <si>
    <t>If you put in corrections for airspeed indicator instrument error, the spreadsheet can calculate the error in altitude due to position error</t>
  </si>
  <si>
    <t>If you do not put in corrections for airspeed indicator instrument error, the CAS error includes position error and instrument error.</t>
  </si>
  <si>
    <t>If you do not put in corrections for airspeed indicator instrument error, the calculated altitude error is meaningless.</t>
  </si>
  <si>
    <t>NOTE:  All speeds in KNOTS</t>
  </si>
  <si>
    <t>4 Mar Flaps 0 Trim Shots</t>
  </si>
  <si>
    <t>All IAS V2 IAS in KNOTS uncorrected</t>
  </si>
  <si>
    <t>V3 IAS</t>
  </si>
  <si>
    <t>V3 instrument error</t>
  </si>
  <si>
    <t>Bad Run</t>
  </si>
  <si>
    <t>Knots</t>
  </si>
  <si>
    <t>MPH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</si>
</sst>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,##0;0;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0" borderId="0" xfId="0" applyProtection="1"/>
    <xf numFmtId="0" fontId="0" fillId="2" borderId="0" xfId="0" applyFill="1" applyProtection="1"/>
    <xf numFmtId="2" fontId="0" fillId="0" borderId="0" xfId="0" applyNumberFormat="1"/>
    <xf numFmtId="0" fontId="0" fillId="0" borderId="0" xfId="0" applyAlignment="1" applyProtection="1">
      <alignment horizontal="right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5" xfId="0" applyBorder="1"/>
    <xf numFmtId="0" fontId="0" fillId="0" borderId="5" xfId="0" applyBorder="1" applyProtection="1"/>
    <xf numFmtId="0" fontId="0" fillId="3" borderId="5" xfId="0" applyFill="1" applyBorder="1" applyProtection="1">
      <protection locked="0"/>
    </xf>
    <xf numFmtId="165" fontId="0" fillId="0" borderId="5" xfId="0" applyNumberFormat="1" applyBorder="1" applyProtection="1"/>
    <xf numFmtId="166" fontId="0" fillId="0" borderId="5" xfId="0" applyNumberFormat="1" applyBorder="1" applyProtection="1"/>
    <xf numFmtId="0" fontId="0" fillId="3" borderId="4" xfId="0" applyFill="1" applyBorder="1" applyProtection="1">
      <protection locked="0"/>
    </xf>
    <xf numFmtId="165" fontId="0" fillId="0" borderId="0" xfId="0" applyNumberFormat="1" applyProtection="1"/>
    <xf numFmtId="1" fontId="0" fillId="0" borderId="5" xfId="0" applyNumberFormat="1" applyBorder="1"/>
    <xf numFmtId="1" fontId="0" fillId="0" borderId="5" xfId="0" applyNumberFormat="1" applyBorder="1" applyProtection="1"/>
    <xf numFmtId="164" fontId="0" fillId="0" borderId="0" xfId="0" applyNumberFormat="1" applyProtection="1"/>
    <xf numFmtId="1" fontId="0" fillId="0" borderId="0" xfId="0" applyNumberFormat="1" applyProtection="1"/>
    <xf numFmtId="3" fontId="0" fillId="3" borderId="5" xfId="0" applyNumberFormat="1" applyFill="1" applyBorder="1" applyProtection="1">
      <protection locked="0"/>
    </xf>
    <xf numFmtId="0" fontId="2" fillId="0" borderId="0" xfId="0" applyFont="1"/>
    <xf numFmtId="0" fontId="3" fillId="0" borderId="5" xfId="0" applyFont="1" applyBorder="1"/>
    <xf numFmtId="0" fontId="4" fillId="0" borderId="0" xfId="0" applyFont="1"/>
    <xf numFmtId="0" fontId="2" fillId="0" borderId="5" xfId="0" applyFont="1" applyBorder="1" applyProtection="1">
      <protection locked="0"/>
    </xf>
    <xf numFmtId="0" fontId="4" fillId="4" borderId="0" xfId="0" applyFont="1" applyFill="1"/>
    <xf numFmtId="0" fontId="0" fillId="4" borderId="0" xfId="0" applyFill="1"/>
    <xf numFmtId="0" fontId="0" fillId="0" borderId="5" xfId="0" applyFill="1" applyBorder="1" applyProtection="1">
      <protection locked="0"/>
    </xf>
    <xf numFmtId="165" fontId="0" fillId="0" borderId="5" xfId="0" applyNumberFormat="1" applyFill="1" applyBorder="1" applyProtection="1"/>
    <xf numFmtId="3" fontId="0" fillId="0" borderId="5" xfId="0" applyNumberFormat="1" applyFill="1" applyBorder="1" applyProtection="1">
      <protection locked="0"/>
    </xf>
    <xf numFmtId="166" fontId="0" fillId="0" borderId="5" xfId="0" applyNumberFormat="1" applyFill="1" applyBorder="1" applyProtection="1"/>
    <xf numFmtId="0" fontId="0" fillId="0" borderId="4" xfId="0" applyFill="1" applyBorder="1" applyProtection="1">
      <protection locked="0"/>
    </xf>
    <xf numFmtId="165" fontId="0" fillId="0" borderId="0" xfId="0" applyNumberFormat="1" applyFill="1" applyProtection="1"/>
    <xf numFmtId="1" fontId="0" fillId="0" borderId="5" xfId="0" applyNumberFormat="1" applyFill="1" applyBorder="1"/>
    <xf numFmtId="1" fontId="0" fillId="0" borderId="5" xfId="0" applyNumberFormat="1" applyFill="1" applyBorder="1" applyProtection="1"/>
    <xf numFmtId="164" fontId="0" fillId="0" borderId="0" xfId="0" applyNumberFormat="1" applyFill="1" applyProtection="1"/>
    <xf numFmtId="1" fontId="0" fillId="0" borderId="0" xfId="0" applyNumberFormat="1" applyFill="1" applyProtection="1"/>
    <xf numFmtId="0" fontId="0" fillId="0" borderId="0" xfId="0" applyFill="1"/>
    <xf numFmtId="0" fontId="2" fillId="0" borderId="5" xfId="0" applyFont="1" applyFill="1" applyBorder="1" applyProtection="1">
      <protection locked="0"/>
    </xf>
    <xf numFmtId="0" fontId="2" fillId="0" borderId="5" xfId="0" applyFont="1" applyBorder="1" applyAlignment="1">
      <alignment horizontal="center" vertical="top" wrapText="1"/>
    </xf>
    <xf numFmtId="0" fontId="2" fillId="4" borderId="5" xfId="0" applyFont="1" applyFill="1" applyBorder="1" applyProtection="1">
      <protection locked="0"/>
    </xf>
    <xf numFmtId="0" fontId="0" fillId="4" borderId="5" xfId="0" applyFill="1" applyBorder="1" applyProtection="1">
      <protection locked="0"/>
    </xf>
    <xf numFmtId="165" fontId="0" fillId="4" borderId="5" xfId="0" applyNumberFormat="1" applyFill="1" applyBorder="1" applyProtection="1"/>
    <xf numFmtId="166" fontId="0" fillId="4" borderId="5" xfId="0" applyNumberFormat="1" applyFill="1" applyBorder="1" applyProtection="1">
      <protection locked="0"/>
    </xf>
    <xf numFmtId="166" fontId="0" fillId="4" borderId="5" xfId="0" applyNumberFormat="1" applyFill="1" applyBorder="1" applyProtection="1"/>
    <xf numFmtId="0" fontId="0" fillId="4" borderId="4" xfId="0" applyFill="1" applyBorder="1" applyProtection="1">
      <protection locked="0"/>
    </xf>
    <xf numFmtId="165" fontId="0" fillId="4" borderId="0" xfId="0" applyNumberFormat="1" applyFill="1" applyProtection="1"/>
    <xf numFmtId="1" fontId="0" fillId="4" borderId="5" xfId="0" applyNumberFormat="1" applyFill="1" applyBorder="1"/>
    <xf numFmtId="1" fontId="0" fillId="4" borderId="5" xfId="0" applyNumberFormat="1" applyFill="1" applyBorder="1" applyProtection="1"/>
    <xf numFmtId="164" fontId="0" fillId="4" borderId="0" xfId="0" applyNumberFormat="1" applyFill="1" applyProtection="1"/>
    <xf numFmtId="1" fontId="0" fillId="4" borderId="0" xfId="0" applyNumberFormat="1" applyFill="1" applyProtection="1"/>
    <xf numFmtId="0" fontId="0" fillId="5" borderId="5" xfId="0" applyFill="1" applyBorder="1" applyProtection="1">
      <protection locked="0"/>
    </xf>
    <xf numFmtId="3" fontId="0" fillId="5" borderId="5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3" fontId="0" fillId="4" borderId="5" xfId="0" applyNumberForma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V2 CAS Correction Chart (Flaps 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9454068241469816E-2"/>
                  <c:y val="-5.6731918926800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'CAS Curve'!$A$3:$A$13</c:f>
              <c:numCache>
                <c:formatCode>General</c:formatCode>
                <c:ptCount val="11"/>
                <c:pt idx="0">
                  <c:v>154.6</c:v>
                </c:pt>
                <c:pt idx="1">
                  <c:v>145.19999999999999</c:v>
                </c:pt>
                <c:pt idx="2">
                  <c:v>132.19999999999999</c:v>
                </c:pt>
                <c:pt idx="3">
                  <c:v>125.1</c:v>
                </c:pt>
                <c:pt idx="4">
                  <c:v>116.5</c:v>
                </c:pt>
                <c:pt idx="5">
                  <c:v>105.8</c:v>
                </c:pt>
                <c:pt idx="6">
                  <c:v>92.3</c:v>
                </c:pt>
                <c:pt idx="7">
                  <c:v>75.3</c:v>
                </c:pt>
                <c:pt idx="8">
                  <c:v>62.3</c:v>
                </c:pt>
                <c:pt idx="9">
                  <c:v>56.2</c:v>
                </c:pt>
                <c:pt idx="10">
                  <c:v>52.3</c:v>
                </c:pt>
              </c:numCache>
            </c:numRef>
          </c:xVal>
          <c:yVal>
            <c:numRef>
              <c:f>'CAS Curve'!$B$3:$B$13</c:f>
              <c:numCache>
                <c:formatCode>General</c:formatCode>
                <c:ptCount val="11"/>
                <c:pt idx="0">
                  <c:v>155.30000000000001</c:v>
                </c:pt>
                <c:pt idx="1">
                  <c:v>146.6</c:v>
                </c:pt>
                <c:pt idx="2">
                  <c:v>133.30000000000001</c:v>
                </c:pt>
                <c:pt idx="3">
                  <c:v>125.7</c:v>
                </c:pt>
                <c:pt idx="4">
                  <c:v>117.3</c:v>
                </c:pt>
                <c:pt idx="5">
                  <c:v>107.6</c:v>
                </c:pt>
                <c:pt idx="6">
                  <c:v>94</c:v>
                </c:pt>
                <c:pt idx="7">
                  <c:v>78.099999999999994</c:v>
                </c:pt>
                <c:pt idx="8">
                  <c:v>65.5</c:v>
                </c:pt>
                <c:pt idx="9">
                  <c:v>59</c:v>
                </c:pt>
                <c:pt idx="10">
                  <c:v>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1C-C241-8E36-1C11EC84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423087"/>
        <c:axId val="1078322415"/>
      </c:scatterChart>
      <c:valAx>
        <c:axId val="915423087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IAS Knots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8322415"/>
        <c:crosses val="autoZero"/>
        <c:crossBetween val="midCat"/>
      </c:valAx>
      <c:valAx>
        <c:axId val="1078322415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CAS Knots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4230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V2 CAS Correction Chart</a:t>
            </a:r>
            <a:r>
              <a:rPr lang="en-US" baseline="0"/>
              <a:t> (Flaps 0)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4367891513560807E-2"/>
                  <c:y val="-4.166666666666666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'CAS Curve'!$J$3:$J$13</c:f>
              <c:numCache>
                <c:formatCode>0.0</c:formatCode>
                <c:ptCount val="11"/>
                <c:pt idx="0">
                  <c:v>177.91058799999999</c:v>
                </c:pt>
                <c:pt idx="1">
                  <c:v>167.09325599999997</c:v>
                </c:pt>
                <c:pt idx="2">
                  <c:v>152.13311599999997</c:v>
                </c:pt>
                <c:pt idx="3">
                  <c:v>143.96257799999998</c:v>
                </c:pt>
                <c:pt idx="4">
                  <c:v>134.06586999999999</c:v>
                </c:pt>
                <c:pt idx="5">
                  <c:v>121.75252399999999</c:v>
                </c:pt>
                <c:pt idx="6">
                  <c:v>106.21699399999999</c:v>
                </c:pt>
                <c:pt idx="7">
                  <c:v>86.653733999999986</c:v>
                </c:pt>
                <c:pt idx="8">
                  <c:v>71.69359399999999</c:v>
                </c:pt>
                <c:pt idx="9">
                  <c:v>64.673835999999994</c:v>
                </c:pt>
                <c:pt idx="10">
                  <c:v>60.185793999999994</c:v>
                </c:pt>
              </c:numCache>
            </c:numRef>
          </c:xVal>
          <c:yVal>
            <c:numRef>
              <c:f>'CAS Curve'!$K$3:$K$13</c:f>
              <c:numCache>
                <c:formatCode>0.0</c:formatCode>
                <c:ptCount val="11"/>
                <c:pt idx="0">
                  <c:v>178.71613400000001</c:v>
                </c:pt>
                <c:pt idx="1">
                  <c:v>168.70434799999998</c:v>
                </c:pt>
                <c:pt idx="2">
                  <c:v>153.39897400000001</c:v>
                </c:pt>
                <c:pt idx="3">
                  <c:v>144.65304599999999</c:v>
                </c:pt>
                <c:pt idx="4">
                  <c:v>134.98649399999999</c:v>
                </c:pt>
                <c:pt idx="5">
                  <c:v>123.82392799999998</c:v>
                </c:pt>
                <c:pt idx="6">
                  <c:v>108.17331999999999</c:v>
                </c:pt>
                <c:pt idx="7">
                  <c:v>89.875917999999984</c:v>
                </c:pt>
                <c:pt idx="8">
                  <c:v>75.376089999999991</c:v>
                </c:pt>
                <c:pt idx="9">
                  <c:v>67.896019999999993</c:v>
                </c:pt>
                <c:pt idx="10">
                  <c:v>63.292899999999996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E5-B34A-A5C3-1AC4263A2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66207"/>
        <c:axId val="918897215"/>
      </c:scatterChart>
      <c:valAx>
        <c:axId val="768866207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IAS 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8897215"/>
        <c:crosses val="autoZero"/>
        <c:crossBetween val="midCat"/>
      </c:valAx>
      <c:valAx>
        <c:axId val="918897215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IAS MPH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8866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</xdr:row>
      <xdr:rowOff>12700</xdr:rowOff>
    </xdr:from>
    <xdr:to>
      <xdr:col>8</xdr:col>
      <xdr:colOff>57150</xdr:colOff>
      <xdr:row>17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626B4A-6FB0-A94B-AF58-3F6D5AC34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514350</xdr:colOff>
      <xdr:row>1</xdr:row>
      <xdr:rowOff>12700</xdr:rowOff>
    </xdr:from>
    <xdr:to>
      <xdr:col>17</xdr:col>
      <xdr:colOff>133350</xdr:colOff>
      <xdr:row>17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EADB8A-0D5B-D543-8399-204F1E6CF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workbookViewId="0">
      <selection activeCell="Y33" sqref="Y33"/>
    </sheetView>
  </sheetViews>
  <sheetFormatPr baseColWidth="10" defaultColWidth="8.83203125" defaultRowHeight="13" x14ac:dyDescent="0.15"/>
  <cols>
    <col min="1" max="1" width="16.83203125" customWidth="1"/>
    <col min="2" max="2" width="7.1640625" customWidth="1"/>
    <col min="3" max="6" width="6.1640625" customWidth="1"/>
    <col min="7" max="7" width="6" customWidth="1"/>
    <col min="8" max="19" width="11.5" hidden="1" customWidth="1"/>
    <col min="20" max="20" width="7.33203125" hidden="1" customWidth="1"/>
    <col min="21" max="24" width="11.5" hidden="1" customWidth="1"/>
    <col min="25" max="25" width="6.5" customWidth="1"/>
    <col min="26" max="26" width="10.5" customWidth="1"/>
    <col min="27" max="27" width="10" customWidth="1"/>
    <col min="28" max="28" width="10" hidden="1" customWidth="1"/>
    <col min="29" max="29" width="8.83203125" customWidth="1"/>
    <col min="30" max="30" width="11.5" customWidth="1"/>
    <col min="31" max="31" width="12.33203125" customWidth="1"/>
    <col min="32" max="32" width="8.83203125" customWidth="1"/>
    <col min="33" max="33" width="7.33203125" hidden="1" customWidth="1"/>
    <col min="34" max="34" width="8" customWidth="1"/>
    <col min="35" max="35" width="7.5" customWidth="1"/>
    <col min="36" max="36" width="8.83203125" customWidth="1"/>
    <col min="37" max="37" width="11.5" hidden="1" customWidth="1"/>
    <col min="38" max="38" width="7.33203125" hidden="1" customWidth="1"/>
    <col min="39" max="39" width="8" hidden="1" customWidth="1"/>
    <col min="40" max="40" width="8.5" hidden="1" customWidth="1"/>
    <col min="41" max="41" width="9.1640625" hidden="1" customWidth="1"/>
    <col min="42" max="42" width="7.33203125" hidden="1" customWidth="1"/>
    <col min="43" max="43" width="8" hidden="1" customWidth="1"/>
    <col min="44" max="44" width="8.5" hidden="1" customWidth="1"/>
    <col min="45" max="47" width="11.33203125" customWidth="1"/>
    <col min="48" max="49" width="11.5" customWidth="1"/>
    <col min="50" max="50" width="8.83203125" customWidth="1"/>
    <col min="51" max="51" width="9" customWidth="1"/>
  </cols>
  <sheetData>
    <row r="1" spans="1:49" ht="12.75" customHeight="1" x14ac:dyDescent="0.15">
      <c r="A1" s="1" t="s">
        <v>0</v>
      </c>
    </row>
    <row r="2" spans="1:49" ht="12.75" customHeight="1" x14ac:dyDescent="0.15">
      <c r="AC2" s="39" t="s">
        <v>118</v>
      </c>
    </row>
    <row r="3" spans="1:49" ht="12.75" customHeight="1" x14ac:dyDescent="0.1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AC3" s="41" t="s">
        <v>117</v>
      </c>
      <c r="AD3" s="42"/>
      <c r="AE3" s="42"/>
      <c r="AJ3" s="1"/>
    </row>
    <row r="4" spans="1:49" ht="12.75" hidden="1" customHeight="1" x14ac:dyDescent="0.15">
      <c r="A4" t="s">
        <v>2</v>
      </c>
      <c r="B4">
        <v>2116.2199999999998</v>
      </c>
      <c r="C4" t="s">
        <v>3</v>
      </c>
      <c r="D4" t="s">
        <v>4</v>
      </c>
    </row>
    <row r="5" spans="1:49" ht="12.75" hidden="1" customHeight="1" x14ac:dyDescent="0.15">
      <c r="A5" t="s">
        <v>5</v>
      </c>
      <c r="B5">
        <v>273.14999999999998</v>
      </c>
      <c r="C5" t="s">
        <v>6</v>
      </c>
      <c r="D5" t="s">
        <v>7</v>
      </c>
    </row>
    <row r="6" spans="1:49" ht="12.75" hidden="1" customHeight="1" x14ac:dyDescent="0.15">
      <c r="A6" t="s">
        <v>8</v>
      </c>
      <c r="B6">
        <v>661.48</v>
      </c>
      <c r="C6" t="s">
        <v>9</v>
      </c>
      <c r="D6" t="s">
        <v>10</v>
      </c>
    </row>
    <row r="7" spans="1:49" ht="12.75" customHeight="1" x14ac:dyDescent="0.15">
      <c r="A7" t="s">
        <v>11</v>
      </c>
      <c r="B7" s="2">
        <v>0.8</v>
      </c>
      <c r="C7" t="s">
        <v>12</v>
      </c>
      <c r="AC7" s="39" t="s">
        <v>119</v>
      </c>
    </row>
    <row r="8" spans="1:49" ht="12.75" customHeight="1" x14ac:dyDescent="0.15">
      <c r="A8" t="s">
        <v>13</v>
      </c>
      <c r="B8" s="3" t="s">
        <v>9</v>
      </c>
      <c r="C8" t="s">
        <v>14</v>
      </c>
    </row>
    <row r="9" spans="1:49" ht="12.75" hidden="1" customHeight="1" x14ac:dyDescent="0.15">
      <c r="A9" s="4" t="s">
        <v>15</v>
      </c>
      <c r="B9" s="5">
        <f>IF(B8="kt",1,IF(B8="mph",6076/5280,IF(B8="km/h",6076*0.0003048,"ERR")))</f>
        <v>1</v>
      </c>
    </row>
    <row r="10" spans="1:49" ht="12.75" customHeight="1" x14ac:dyDescent="0.15">
      <c r="A10" t="s">
        <v>16</v>
      </c>
      <c r="B10" s="3" t="s">
        <v>9</v>
      </c>
      <c r="C10" t="s">
        <v>14</v>
      </c>
    </row>
    <row r="11" spans="1:49" ht="12.75" hidden="1" customHeight="1" x14ac:dyDescent="0.15">
      <c r="A11" s="4" t="s">
        <v>17</v>
      </c>
      <c r="B11" s="5">
        <f>IF(B10="kt",1,IF(B10="mph",6076/5280,IF(B10="km/h",1.852,"ERR")))</f>
        <v>1</v>
      </c>
    </row>
    <row r="12" spans="1:49" ht="12.75" customHeight="1" x14ac:dyDescent="0.15">
      <c r="A12" s="4" t="s">
        <v>18</v>
      </c>
      <c r="B12" s="3" t="s">
        <v>19</v>
      </c>
      <c r="C12" t="s">
        <v>20</v>
      </c>
      <c r="AU12" s="6"/>
      <c r="AW12" s="6"/>
    </row>
    <row r="13" spans="1:49" ht="12.75" customHeight="1" x14ac:dyDescent="0.15">
      <c r="A13" s="4" t="s">
        <v>21</v>
      </c>
      <c r="B13" s="3">
        <v>0</v>
      </c>
      <c r="C13" t="s">
        <v>22</v>
      </c>
    </row>
    <row r="14" spans="1:49" ht="12.75" customHeight="1" x14ac:dyDescent="0.15">
      <c r="A14" s="4"/>
      <c r="B14" s="7"/>
    </row>
    <row r="15" spans="1:49" x14ac:dyDescent="0.15">
      <c r="A15" s="1" t="s">
        <v>23</v>
      </c>
      <c r="AH15" s="1" t="s">
        <v>24</v>
      </c>
      <c r="AS15" s="8" t="s">
        <v>25</v>
      </c>
      <c r="AT15" s="9"/>
      <c r="AU15" s="9"/>
      <c r="AV15" s="9"/>
      <c r="AW15" s="10"/>
    </row>
    <row r="16" spans="1:49" ht="14" x14ac:dyDescent="0.15">
      <c r="B16" s="8" t="s">
        <v>26</v>
      </c>
      <c r="C16" s="9"/>
      <c r="D16" s="9"/>
      <c r="E16" s="9"/>
      <c r="F16" s="9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8" t="s">
        <v>27</v>
      </c>
      <c r="Z16" s="11"/>
      <c r="AA16" s="10"/>
      <c r="AB16" s="9"/>
      <c r="AC16" s="8" t="s">
        <v>28</v>
      </c>
      <c r="AD16" s="11"/>
      <c r="AE16" s="12"/>
      <c r="AF16" s="13" t="s">
        <v>29</v>
      </c>
      <c r="AJ16" s="1"/>
      <c r="AS16" s="8" t="s">
        <v>30</v>
      </c>
      <c r="AT16" s="11"/>
      <c r="AU16" s="12"/>
      <c r="AV16" s="8" t="s">
        <v>31</v>
      </c>
      <c r="AW16" s="12"/>
    </row>
    <row r="17" spans="1:51" ht="63.75" customHeight="1" x14ac:dyDescent="0.15">
      <c r="A17" s="14" t="s">
        <v>32</v>
      </c>
      <c r="B17" s="14" t="s">
        <v>33</v>
      </c>
      <c r="C17" s="14" t="s">
        <v>34</v>
      </c>
      <c r="D17" s="14" t="s">
        <v>35</v>
      </c>
      <c r="E17" s="14" t="s">
        <v>36</v>
      </c>
      <c r="F17" s="14" t="s">
        <v>37</v>
      </c>
      <c r="G17" s="14" t="s">
        <v>38</v>
      </c>
      <c r="H17" s="15" t="s">
        <v>39</v>
      </c>
      <c r="I17" s="15" t="s">
        <v>40</v>
      </c>
      <c r="J17" s="15" t="s">
        <v>41</v>
      </c>
      <c r="K17" s="15" t="s">
        <v>42</v>
      </c>
      <c r="L17" s="15" t="s">
        <v>43</v>
      </c>
      <c r="M17" s="15" t="s">
        <v>44</v>
      </c>
      <c r="N17" s="15" t="s">
        <v>45</v>
      </c>
      <c r="O17" s="15" t="s">
        <v>46</v>
      </c>
      <c r="P17" s="15" t="s">
        <v>47</v>
      </c>
      <c r="Q17" s="15" t="s">
        <v>48</v>
      </c>
      <c r="R17" s="15" t="s">
        <v>49</v>
      </c>
      <c r="S17" s="15" t="s">
        <v>50</v>
      </c>
      <c r="T17" s="16" t="s">
        <v>51</v>
      </c>
      <c r="U17" s="15" t="s">
        <v>52</v>
      </c>
      <c r="V17" s="15" t="s">
        <v>53</v>
      </c>
      <c r="W17" s="15" t="s">
        <v>54</v>
      </c>
      <c r="X17" s="15" t="s">
        <v>55</v>
      </c>
      <c r="Y17" s="55" t="s">
        <v>120</v>
      </c>
      <c r="Z17" s="55" t="s">
        <v>121</v>
      </c>
      <c r="AA17" s="14" t="s">
        <v>58</v>
      </c>
      <c r="AB17" s="14"/>
      <c r="AC17" s="14" t="s">
        <v>59</v>
      </c>
      <c r="AD17" s="14" t="s">
        <v>57</v>
      </c>
      <c r="AE17" s="14" t="s">
        <v>60</v>
      </c>
      <c r="AF17" s="17" t="s">
        <v>61</v>
      </c>
      <c r="AG17" s="14" t="s">
        <v>62</v>
      </c>
      <c r="AH17" s="14" t="s">
        <v>62</v>
      </c>
      <c r="AI17" s="14" t="s">
        <v>51</v>
      </c>
      <c r="AJ17" s="14" t="s">
        <v>63</v>
      </c>
      <c r="AK17" s="14" t="s">
        <v>64</v>
      </c>
      <c r="AL17" s="14" t="s">
        <v>65</v>
      </c>
      <c r="AM17" s="14"/>
      <c r="AN17" s="14"/>
      <c r="AO17" s="14" t="s">
        <v>66</v>
      </c>
      <c r="AP17" s="14"/>
      <c r="AQ17" s="14"/>
      <c r="AR17" s="14" t="s">
        <v>67</v>
      </c>
      <c r="AS17" s="14" t="s">
        <v>68</v>
      </c>
      <c r="AT17" s="14" t="s">
        <v>69</v>
      </c>
      <c r="AU17" s="14" t="s">
        <v>70</v>
      </c>
      <c r="AV17" s="14" t="s">
        <v>71</v>
      </c>
      <c r="AW17" s="14" t="s">
        <v>72</v>
      </c>
      <c r="AY17" s="18"/>
    </row>
    <row r="18" spans="1:51" ht="25.5" hidden="1" customHeight="1" x14ac:dyDescent="0.15">
      <c r="A18" s="14" t="s">
        <v>73</v>
      </c>
      <c r="B18" s="14"/>
      <c r="C18" s="14"/>
      <c r="D18" s="14"/>
      <c r="E18" s="14"/>
      <c r="F18" s="14"/>
      <c r="G18" s="14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8"/>
      <c r="U18" s="19"/>
      <c r="V18" s="19"/>
      <c r="W18" s="19"/>
      <c r="X18" s="19"/>
      <c r="Y18" s="14" t="s">
        <v>74</v>
      </c>
      <c r="Z18" s="14" t="s">
        <v>75</v>
      </c>
      <c r="AA18" s="16" t="s">
        <v>76</v>
      </c>
      <c r="AB18" s="16" t="s">
        <v>76</v>
      </c>
      <c r="AC18" s="14" t="s">
        <v>77</v>
      </c>
      <c r="AD18" s="14" t="s">
        <v>78</v>
      </c>
      <c r="AE18" s="16" t="s">
        <v>79</v>
      </c>
      <c r="AF18" s="17" t="s">
        <v>80</v>
      </c>
      <c r="AG18" s="18" t="s">
        <v>52</v>
      </c>
      <c r="AH18" s="16" t="s">
        <v>52</v>
      </c>
      <c r="AI18" s="16"/>
      <c r="AJ18" s="16"/>
      <c r="AK18" s="18" t="s">
        <v>81</v>
      </c>
      <c r="AL18" s="18" t="s">
        <v>82</v>
      </c>
      <c r="AM18" s="18" t="s">
        <v>83</v>
      </c>
      <c r="AN18" s="18" t="s">
        <v>84</v>
      </c>
      <c r="AO18" s="18" t="s">
        <v>85</v>
      </c>
      <c r="AP18" s="18" t="s">
        <v>86</v>
      </c>
      <c r="AQ18" s="18" t="s">
        <v>87</v>
      </c>
      <c r="AR18" s="18" t="s">
        <v>88</v>
      </c>
      <c r="AS18" s="16" t="s">
        <v>89</v>
      </c>
      <c r="AT18" s="16" t="s">
        <v>90</v>
      </c>
      <c r="AU18" s="16" t="s">
        <v>91</v>
      </c>
      <c r="AV18" s="16" t="s">
        <v>90</v>
      </c>
      <c r="AW18" s="16" t="s">
        <v>91</v>
      </c>
      <c r="AY18" s="18"/>
    </row>
    <row r="19" spans="1:51" x14ac:dyDescent="0.15">
      <c r="A19" s="20"/>
      <c r="B19" s="20" t="str">
        <f>IF(GPS_units="kt", "(kt)",IF(GPS_units="mph","(mph)",IF(GPS_units="km/h","(km/h)","ERROR")))</f>
        <v>(kt)</v>
      </c>
      <c r="C19" s="20" t="s">
        <v>92</v>
      </c>
      <c r="D19" s="20" t="str">
        <f>IF(GPS_units="kt", "(kt)",IF(GPS_units="mph","(mph)",IF(GPS_units="km/h","(km/h)","ERROR")))</f>
        <v>(kt)</v>
      </c>
      <c r="E19" s="20" t="s">
        <v>92</v>
      </c>
      <c r="F19" s="20" t="str">
        <f>IF(GPS_units="kt", "(kt)",IF(GPS_units="mph","(mph)",IF(GPS_units="km/h","(km/h)","ERROR")))</f>
        <v>(kt)</v>
      </c>
      <c r="G19" s="20" t="s">
        <v>92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 t="str">
        <f>IF(GPS_units="kt", "(kt)",IF(GPS_units="mph","(mph)",IF(GPS_units="km/h","(km/h)","####")))</f>
        <v>(kt)</v>
      </c>
      <c r="U19" s="21" t="str">
        <f>IF(GPS_units="kt", "(kt)",IF(GPS_units="mph","(mph)",IF(GPS_units="km/h","(km/h)","####")))</f>
        <v>(kt)</v>
      </c>
      <c r="V19" s="21"/>
      <c r="W19" s="21"/>
      <c r="X19" s="21"/>
      <c r="Y19" s="20" t="str">
        <f>IF(IAS_units="kt", "(kt)",IF(IAS_units="mph","(mph)",IF(IAS_units="km/h","(km/h)","ERROR")))</f>
        <v>(kt)</v>
      </c>
      <c r="Z19" s="20" t="str">
        <f>IF(IAS_units="kt", "(kt)",IF(IAS_units="mph","(mph)",IF(IAS_units="km/h","(km/h)","ERROR")))</f>
        <v>(kt)</v>
      </c>
      <c r="AA19" s="20" t="str">
        <f>IF(IAS_units="kt", "(kt)",IF(IAS_units="mph","(mph)",IF(IAS_units="km/h","(km/h)","ERROR")))</f>
        <v>(kt)</v>
      </c>
      <c r="AB19" s="20" t="s">
        <v>93</v>
      </c>
      <c r="AC19" s="20" t="s">
        <v>94</v>
      </c>
      <c r="AD19" s="20" t="s">
        <v>94</v>
      </c>
      <c r="AE19" s="22" t="s">
        <v>94</v>
      </c>
      <c r="AF19" s="23" t="str">
        <f>IF(temp_units="c","(deg C)",IF(temp_units="f","(deg F)","####"))</f>
        <v>(deg C)</v>
      </c>
      <c r="AG19" s="24" t="s">
        <v>93</v>
      </c>
      <c r="AH19" s="20" t="str">
        <f>IF(IAS_units="kt", "(kt)",IF(IAS_units="mph","(mph)",IF(IAS_units="km/h","(km/h)","ERROR")))</f>
        <v>(kt)</v>
      </c>
      <c r="AI19" s="22" t="s">
        <v>93</v>
      </c>
      <c r="AJ19" s="22" t="s">
        <v>92</v>
      </c>
      <c r="AK19" s="24" t="s">
        <v>95</v>
      </c>
      <c r="AL19" s="24"/>
      <c r="AM19" s="24"/>
      <c r="AN19" s="24"/>
      <c r="AO19" s="24"/>
      <c r="AP19" s="24"/>
      <c r="AQ19" s="24"/>
      <c r="AR19" s="24" t="s">
        <v>94</v>
      </c>
      <c r="AS19" s="20" t="str">
        <f>IF(IAS_units="kt", "(kt)",IF(IAS_units="mph","(mph)",IF(IAS_units="km/h","(km/h)","ERROR")))</f>
        <v>(kt)</v>
      </c>
      <c r="AT19" s="20" t="str">
        <f>IF(IAS_units="kt", "(kt)",IF(IAS_units="mph","(mph)",IF(IAS_units="km/h","(km/h)","ERROR")))</f>
        <v>(kt)</v>
      </c>
      <c r="AU19" s="22" t="s">
        <v>94</v>
      </c>
      <c r="AV19" s="20" t="str">
        <f>IF(IAS_units="kt", "(kt)",IF(IAS_units="mph","(mph)",IF(IAS_units="km/h","(km/h)","ERROR")))</f>
        <v>(kt)</v>
      </c>
      <c r="AW19" s="22" t="s">
        <v>94</v>
      </c>
      <c r="AY19" s="24"/>
    </row>
    <row r="20" spans="1:51" x14ac:dyDescent="0.15">
      <c r="A20" s="38" t="s">
        <v>32</v>
      </c>
      <c r="B20" s="25"/>
      <c r="C20" s="25"/>
      <c r="D20" s="25"/>
      <c r="E20" s="25"/>
      <c r="F20" s="25"/>
      <c r="G20" s="25"/>
      <c r="T20" s="4"/>
      <c r="Y20" s="20" t="s">
        <v>74</v>
      </c>
      <c r="Z20" s="20" t="s">
        <v>75</v>
      </c>
      <c r="AA20" s="22" t="s">
        <v>76</v>
      </c>
      <c r="AB20" s="22"/>
      <c r="AC20" s="20" t="s">
        <v>77</v>
      </c>
      <c r="AD20" s="20" t="s">
        <v>78</v>
      </c>
      <c r="AE20" s="22" t="s">
        <v>79</v>
      </c>
      <c r="AF20" s="23" t="s">
        <v>80</v>
      </c>
      <c r="AG20" s="24" t="s">
        <v>52</v>
      </c>
      <c r="AH20" s="22"/>
      <c r="AI20" s="25"/>
      <c r="AJ20" s="26"/>
      <c r="AK20" s="24" t="s">
        <v>96</v>
      </c>
      <c r="AL20" s="24" t="s">
        <v>82</v>
      </c>
      <c r="AM20" s="24"/>
      <c r="AN20" s="24"/>
      <c r="AO20" s="24"/>
      <c r="AP20" s="24"/>
      <c r="AQ20" s="24"/>
      <c r="AR20" s="24"/>
      <c r="AS20" s="22"/>
      <c r="AT20" s="22"/>
      <c r="AU20" s="22"/>
      <c r="AV20" s="22"/>
      <c r="AW20" s="22"/>
      <c r="AY20" s="24"/>
    </row>
    <row r="21" spans="1:51" s="42" customFormat="1" x14ac:dyDescent="0.15">
      <c r="A21" s="56">
        <v>1</v>
      </c>
      <c r="B21" s="57">
        <v>163</v>
      </c>
      <c r="C21" s="57">
        <v>90</v>
      </c>
      <c r="D21" s="57">
        <v>154</v>
      </c>
      <c r="E21" s="57">
        <v>359</v>
      </c>
      <c r="F21" s="57">
        <v>173</v>
      </c>
      <c r="G21" s="57">
        <v>269</v>
      </c>
      <c r="H21" s="57">
        <f t="shared" ref="H21:H23" si="0">B21*SIN(PI()*(360-C21)/180)</f>
        <v>-163</v>
      </c>
      <c r="I21" s="57">
        <f t="shared" ref="I21:I23" si="1">B21*COS(PI()*(360-C21)/180)</f>
        <v>-2.9954879722515759E-14</v>
      </c>
      <c r="J21" s="57">
        <f t="shared" ref="J21:J23" si="2">D21*SIN(PI()*(360-E21)/180)</f>
        <v>2.6876705913416608</v>
      </c>
      <c r="K21" s="57">
        <f t="shared" ref="K21:K23" si="3">D21*COS(PI()*(360-E21)/180)</f>
        <v>153.97654505408426</v>
      </c>
      <c r="L21" s="57">
        <f t="shared" ref="L21:L23" si="4">F21*SIN(PI()*(360-G21)/180)</f>
        <v>172.97365126205568</v>
      </c>
      <c r="M21" s="57">
        <f t="shared" ref="M21:M23" si="5">F21*COS(PI()*(360-G21)/180)</f>
        <v>-3.0192663136500415</v>
      </c>
      <c r="N21" s="57">
        <f t="shared" ref="N21:N23" si="6">-1*(J21-H21)/(K21-I21)</f>
        <v>-1.0760578537019638</v>
      </c>
      <c r="O21" s="57">
        <f t="shared" ref="O21:O23" si="7">(I21+K21)/2-N21*(H21+J21)/2</f>
        <v>-9.2643980256794407</v>
      </c>
      <c r="P21" s="57">
        <f t="shared" ref="P21:P23" si="8">-1*(L21-H21)/(M21-I21)</f>
        <v>111.27658721031959</v>
      </c>
      <c r="Q21" s="57">
        <f t="shared" ref="Q21:Q23" si="9">(I21+M21)/2-P21*(H21+L21)/2</f>
        <v>-556.42657039055166</v>
      </c>
      <c r="R21" s="57">
        <f t="shared" ref="R21:R23" si="10">(O21-Q21)/(P21-N21)</f>
        <v>4.8700426416581877</v>
      </c>
      <c r="S21" s="57">
        <f t="shared" ref="S21:S23" si="11">N21*R21+O21</f>
        <v>-14.504845658099192</v>
      </c>
      <c r="T21" s="57">
        <f t="shared" ref="T21:T23" si="12">SQRT(R21^2+S21^2)</f>
        <v>15.300583743663118</v>
      </c>
      <c r="U21" s="57">
        <f t="shared" ref="U21:U23" si="13">SQRT((H21-R21)^2+(I21-S21)^2)</f>
        <v>168.49552446304745</v>
      </c>
      <c r="V21" s="57">
        <f t="shared" ref="V21:V23" si="14">MOD(540-(180/PI()*ATAN2(S21-I21,R21-H21)),360)</f>
        <v>85.061611752546355</v>
      </c>
      <c r="W21" s="57">
        <f t="shared" ref="W21:W23" si="15">MOD(540-(180/PI()*ATAN2(S21-K21,R21-J21)),360)</f>
        <v>0.74212181332467253</v>
      </c>
      <c r="X21" s="57">
        <f t="shared" ref="X21:X23" si="16">MOD(540-(180/PI()*ATAN2(S21-M21,R21-L21)),360)</f>
        <v>273.9086255878384</v>
      </c>
      <c r="Y21" s="57">
        <v>154.56</v>
      </c>
      <c r="Z21" s="57">
        <v>0</v>
      </c>
      <c r="AA21" s="58">
        <f t="shared" ref="AA21:AA33" si="17">IF(Vi+dVic=0,"",Vi+dVic)</f>
        <v>154.56</v>
      </c>
      <c r="AB21" s="58">
        <f t="shared" ref="AB21:AB23" si="18">IF(ISERROR(AA21/factor_for_IAS),"",AA21/factor_for_IAS)</f>
        <v>154.56</v>
      </c>
      <c r="AC21" s="59">
        <v>5194</v>
      </c>
      <c r="AD21" s="57">
        <v>0</v>
      </c>
      <c r="AE21" s="60">
        <f t="shared" ref="AE21:AE33" si="19">Hi+dHic</f>
        <v>5194</v>
      </c>
      <c r="AF21" s="61">
        <v>10.6</v>
      </c>
      <c r="AG21" s="62">
        <f t="shared" ref="AG21:AG23" si="20">U21/factor_for_GPS</f>
        <v>168.49552446304745</v>
      </c>
      <c r="AH21" s="58">
        <f t="shared" ref="AH21:AH33" si="21">IF(ISERROR(Vt*factor_for_IAS),"",Vt*factor_for_IAS)</f>
        <v>168.49552446304745</v>
      </c>
      <c r="AI21" s="63">
        <f t="shared" ref="AI21:AI23" si="22">IF(ISERROR(T21/factor_for_GPS),"",T21/factor_for_GPS)</f>
        <v>15.300583743663118</v>
      </c>
      <c r="AJ21" s="64">
        <f t="shared" ref="AJ21:AJ23" si="23">IF(ISERROR(MOD(540-(180/PI()*ATAN2(S21,R21)),360)),"",MOD(540-(180/PI()*ATAN2(S21,R21)),360))</f>
        <v>18.55962118914033</v>
      </c>
      <c r="AK21" s="62">
        <f t="shared" ref="AK21:AK33" si="24">IF(temp_units="c",Ti-(K*Vt^2/7592)+T_0,IF(temp_units="f",(5/9*(Ti-32))-(K*Vt^2/7592)+T_0,"####"))</f>
        <v>280.7583517635324</v>
      </c>
      <c r="AL21" s="65">
        <f t="shared" ref="AL21:AL33" si="25">Vt/(38.968*SQRT(Ta))</f>
        <v>0.25805597022671817</v>
      </c>
      <c r="AM21" s="65">
        <f t="shared" ref="AM21:AM33" si="26">((1+0.2*(Vic/as0)^2)^3.5-1)</f>
        <v>3.8741674483494082E-2</v>
      </c>
      <c r="AN21" s="65">
        <f t="shared" ref="AN21:AN33" si="27">qcic_over_Psl/((1-0.00000687558*Hic)^5.2559)</f>
        <v>4.6901367314889218E-2</v>
      </c>
      <c r="AO21" s="65">
        <f t="shared" ref="AO21:AO33" si="28">SQRT(5*((qcic_over_Ps+1)^(2/7)-1))</f>
        <v>0.25672707625045099</v>
      </c>
      <c r="AP21" s="65">
        <f t="shared" ref="AP21:AP33" si="29">1.4*(Mic+(M-Mic)/2)*(M-Mic)/(1+0.2*(Mic+(M-Mic)/2)^2)</f>
        <v>4.7260244286331088E-4</v>
      </c>
      <c r="AQ21" s="65">
        <f t="shared" ref="AQ21:AQ33" si="30">dPp_over_Ps/qcic_over_Ps</f>
        <v>1.0076517379340439E-2</v>
      </c>
      <c r="AR21" s="66">
        <f t="shared" ref="AR21:AR33" si="31">Hic+dHpc</f>
        <v>5206.6106163742907</v>
      </c>
      <c r="AS21" s="58">
        <f t="shared" ref="AS21:AS33" si="32">IF(ISERROR(factor_for_IAS*as0*SQRT(5*(((((1-0.00000687558*Hc)^5.2559)*((1+0.2*M^2)^3.5-1)+1)^(2/7))-1))),"",factor_for_IAS*as0*SQRT(5*(((((1-0.00000687558*Hc)^5.2559)*((1+0.2*M^2)^3.5-1)+1)^(2/7))-1)))</f>
        <v>155.32607218984163</v>
      </c>
      <c r="AT21" s="58">
        <f t="shared" ref="AT21:AT23" si="33">IF(ISERROR(AS21-AA21),"",AS21-AA21)</f>
        <v>0.76607218984162273</v>
      </c>
      <c r="AU21" s="64">
        <f t="shared" ref="AU21:AU33" si="34">IF(ISERROR((1-0.00000687558*Hic)*dPp_over_Ps/0.0000361382),"",(1-0.00000687558*Hic)*dPp_over_Ps/0.0000361382)</f>
        <v>12.610616374291041</v>
      </c>
      <c r="AV21" s="58">
        <f t="shared" ref="AV21:AV33" si="35">IF(ISERROR(factor_for_IAS*as0^2*(1-0.00000687558*H_std_altitude)^5.2559*dPp_over_Ps/(1.4*Vic*(1+0.2*(Vic/as0)^2)^2.5)),"",factor_for_IAS*as0^2*(1-0.00000687558*H_std_altitude)^5.2559*dPp_over_Ps/(1.4*Vic*(1+0.2*(Vic/as0)^2)^2.5))</f>
        <v>0.93006465750043121</v>
      </c>
      <c r="AW21" s="64">
        <f t="shared" ref="AW21:AW33" si="36">IF(ISERROR((1-0.00000687558*H_std_altitude)*dPp_over_Ps/0.0000361382),"",(1-0.00000687558*H_std_altitude)*dPp_over_Ps/0.0000361382)</f>
        <v>13.07764202044681</v>
      </c>
      <c r="AY21" s="65"/>
    </row>
    <row r="22" spans="1:51" s="42" customFormat="1" x14ac:dyDescent="0.15">
      <c r="A22" s="56">
        <v>2</v>
      </c>
      <c r="B22" s="67">
        <v>165</v>
      </c>
      <c r="C22" s="67">
        <v>270</v>
      </c>
      <c r="D22" s="67">
        <v>174</v>
      </c>
      <c r="E22" s="67">
        <v>179</v>
      </c>
      <c r="F22" s="67">
        <v>152</v>
      </c>
      <c r="G22" s="67">
        <v>89</v>
      </c>
      <c r="H22" s="67">
        <f t="shared" si="0"/>
        <v>165</v>
      </c>
      <c r="I22" s="67">
        <f t="shared" si="1"/>
        <v>1.0107474752996115E-14</v>
      </c>
      <c r="J22" s="67">
        <f t="shared" si="2"/>
        <v>-3.0367187200872756</v>
      </c>
      <c r="K22" s="67">
        <f t="shared" si="3"/>
        <v>-173.97349895721209</v>
      </c>
      <c r="L22" s="67">
        <f t="shared" si="4"/>
        <v>-151.97684966377147</v>
      </c>
      <c r="M22" s="67">
        <f t="shared" si="5"/>
        <v>2.6527657784670358</v>
      </c>
      <c r="N22" s="67">
        <f t="shared" si="6"/>
        <v>-0.96587537600433648</v>
      </c>
      <c r="O22" s="67">
        <f t="shared" si="7"/>
        <v>-8.7685768760401288</v>
      </c>
      <c r="P22" s="67">
        <f t="shared" si="8"/>
        <v>119.48919585616238</v>
      </c>
      <c r="Q22" s="67">
        <f t="shared" si="9"/>
        <v>-776.73649770569511</v>
      </c>
      <c r="R22" s="67">
        <f t="shared" si="10"/>
        <v>6.3755549100084243</v>
      </c>
      <c r="S22" s="67">
        <f t="shared" si="11"/>
        <v>-14.92656837198081</v>
      </c>
      <c r="T22" s="67">
        <f t="shared" si="12"/>
        <v>16.23114733387478</v>
      </c>
      <c r="U22" s="67">
        <f t="shared" si="13"/>
        <v>159.32519268298773</v>
      </c>
      <c r="V22" s="67">
        <f t="shared" si="14"/>
        <v>275.37570609838156</v>
      </c>
      <c r="W22" s="67">
        <f t="shared" si="15"/>
        <v>176.61323034559541</v>
      </c>
      <c r="X22" s="67">
        <f t="shared" si="16"/>
        <v>83.665304404638164</v>
      </c>
      <c r="Y22" s="67">
        <v>145.15</v>
      </c>
      <c r="Z22" s="67">
        <v>0</v>
      </c>
      <c r="AA22" s="58">
        <f t="shared" si="17"/>
        <v>145.15</v>
      </c>
      <c r="AB22" s="58">
        <f t="shared" si="18"/>
        <v>145.15</v>
      </c>
      <c r="AC22" s="68">
        <v>5249</v>
      </c>
      <c r="AD22" s="67">
        <v>0</v>
      </c>
      <c r="AE22" s="60">
        <f t="shared" si="19"/>
        <v>5249</v>
      </c>
      <c r="AF22" s="69">
        <v>10.6</v>
      </c>
      <c r="AG22" s="62">
        <f t="shared" si="20"/>
        <v>159.32519268298773</v>
      </c>
      <c r="AH22" s="58">
        <f t="shared" si="21"/>
        <v>159.32519268298773</v>
      </c>
      <c r="AI22" s="63">
        <f t="shared" si="22"/>
        <v>16.23114733387478</v>
      </c>
      <c r="AJ22" s="64">
        <f t="shared" si="23"/>
        <v>23.128683522898427</v>
      </c>
      <c r="AK22" s="62">
        <f t="shared" si="24"/>
        <v>281.07512992376485</v>
      </c>
      <c r="AL22" s="65">
        <f t="shared" si="25"/>
        <v>0.24387378896065592</v>
      </c>
      <c r="AM22" s="65">
        <f t="shared" si="26"/>
        <v>3.4113025905069705E-2</v>
      </c>
      <c r="AN22" s="65">
        <f t="shared" si="27"/>
        <v>4.1383068251621004E-2</v>
      </c>
      <c r="AO22" s="65">
        <f t="shared" si="28"/>
        <v>0.24138146948097483</v>
      </c>
      <c r="AP22" s="65">
        <f t="shared" si="29"/>
        <v>8.367363661251734E-4</v>
      </c>
      <c r="AQ22" s="65">
        <f t="shared" si="30"/>
        <v>2.0219292611112705E-2</v>
      </c>
      <c r="AR22" s="66">
        <f t="shared" si="31"/>
        <v>5271.3181735143407</v>
      </c>
      <c r="AS22" s="58">
        <f t="shared" si="32"/>
        <v>146.59188576575096</v>
      </c>
      <c r="AT22" s="58">
        <f t="shared" si="33"/>
        <v>1.4418857657509534</v>
      </c>
      <c r="AU22" s="64">
        <f t="shared" si="34"/>
        <v>22.318173514340291</v>
      </c>
      <c r="AV22" s="58">
        <f t="shared" si="35"/>
        <v>1.7590220511057013</v>
      </c>
      <c r="AW22" s="64">
        <f t="shared" si="36"/>
        <v>23.153792001958411</v>
      </c>
      <c r="AY22" s="65"/>
    </row>
    <row r="23" spans="1:51" s="42" customFormat="1" x14ac:dyDescent="0.15">
      <c r="A23" s="56">
        <v>3</v>
      </c>
      <c r="B23" s="67">
        <v>130</v>
      </c>
      <c r="C23" s="67">
        <v>355</v>
      </c>
      <c r="D23" s="67">
        <v>151</v>
      </c>
      <c r="E23" s="67">
        <v>265</v>
      </c>
      <c r="F23" s="67">
        <v>160</v>
      </c>
      <c r="G23" s="67">
        <v>175</v>
      </c>
      <c r="H23" s="67">
        <f t="shared" si="0"/>
        <v>11.330246557195562</v>
      </c>
      <c r="I23" s="67">
        <f t="shared" si="1"/>
        <v>129.50531075192691</v>
      </c>
      <c r="J23" s="67">
        <f t="shared" si="2"/>
        <v>150.42539941185359</v>
      </c>
      <c r="K23" s="67">
        <f t="shared" si="3"/>
        <v>-13.160517154896393</v>
      </c>
      <c r="L23" s="67">
        <f t="shared" si="4"/>
        <v>-13.94491883962527</v>
      </c>
      <c r="M23" s="67">
        <f t="shared" si="5"/>
        <v>-159.39115169467928</v>
      </c>
      <c r="N23" s="67">
        <f t="shared" si="6"/>
        <v>0.97497175669497183</v>
      </c>
      <c r="O23" s="67">
        <f t="shared" si="7"/>
        <v>-20.681196354371629</v>
      </c>
      <c r="P23" s="67">
        <f t="shared" si="8"/>
        <v>-8.7488663525923882E-2</v>
      </c>
      <c r="Q23" s="67">
        <f t="shared" si="9"/>
        <v>-15.057297563150209</v>
      </c>
      <c r="R23" s="67">
        <f t="shared" si="10"/>
        <v>5.2932783981281464</v>
      </c>
      <c r="S23" s="67">
        <f t="shared" si="11"/>
        <v>-15.520399415873083</v>
      </c>
      <c r="T23" s="67">
        <f t="shared" si="12"/>
        <v>16.398219239549263</v>
      </c>
      <c r="U23" s="67">
        <f t="shared" si="13"/>
        <v>145.15130586470215</v>
      </c>
      <c r="V23" s="67">
        <f t="shared" si="14"/>
        <v>357.61633150248724</v>
      </c>
      <c r="W23" s="67">
        <f t="shared" si="15"/>
        <v>270.93156069270674</v>
      </c>
      <c r="X23" s="67">
        <f t="shared" si="16"/>
        <v>172.38366849751276</v>
      </c>
      <c r="Y23" s="67">
        <v>132.19999999999999</v>
      </c>
      <c r="Z23" s="67">
        <v>0</v>
      </c>
      <c r="AA23" s="58">
        <f t="shared" si="17"/>
        <v>132.19999999999999</v>
      </c>
      <c r="AB23" s="58">
        <f t="shared" si="18"/>
        <v>132.19999999999999</v>
      </c>
      <c r="AC23" s="68">
        <v>5298</v>
      </c>
      <c r="AD23" s="67">
        <v>0</v>
      </c>
      <c r="AE23" s="60">
        <f t="shared" si="19"/>
        <v>5298</v>
      </c>
      <c r="AF23" s="69">
        <v>10.6</v>
      </c>
      <c r="AG23" s="62">
        <f t="shared" si="20"/>
        <v>145.15130586470215</v>
      </c>
      <c r="AH23" s="58">
        <f t="shared" si="21"/>
        <v>145.15130586470215</v>
      </c>
      <c r="AI23" s="63">
        <f t="shared" si="22"/>
        <v>16.398219239549263</v>
      </c>
      <c r="AJ23" s="64">
        <f t="shared" si="23"/>
        <v>18.83209531102375</v>
      </c>
      <c r="AK23" s="62">
        <f t="shared" si="24"/>
        <v>281.52988392052384</v>
      </c>
      <c r="AL23" s="65">
        <f t="shared" si="25"/>
        <v>0.22199877610227051</v>
      </c>
      <c r="AM23" s="65">
        <f t="shared" si="26"/>
        <v>2.8239683000815807E-2</v>
      </c>
      <c r="AN23" s="65">
        <f t="shared" si="27"/>
        <v>3.4321021990255142E-2</v>
      </c>
      <c r="AO23" s="65">
        <f t="shared" si="28"/>
        <v>0.22009217223563535</v>
      </c>
      <c r="AP23" s="65">
        <f t="shared" si="29"/>
        <v>5.8431456735948595E-4</v>
      </c>
      <c r="AQ23" s="65">
        <f t="shared" si="30"/>
        <v>1.7024975757580642E-2</v>
      </c>
      <c r="AR23" s="66">
        <f t="shared" si="31"/>
        <v>5313.5799083554648</v>
      </c>
      <c r="AS23" s="58">
        <f t="shared" si="32"/>
        <v>133.30908177682417</v>
      </c>
      <c r="AT23" s="58">
        <f t="shared" si="33"/>
        <v>1.1090817768241834</v>
      </c>
      <c r="AU23" s="64">
        <f t="shared" si="34"/>
        <v>15.5799083554646</v>
      </c>
      <c r="AV23" s="58">
        <f t="shared" si="35"/>
        <v>1.3541969437027133</v>
      </c>
      <c r="AW23" s="64">
        <f t="shared" si="36"/>
        <v>16.168889633669799</v>
      </c>
    </row>
    <row r="24" spans="1:51" s="42" customFormat="1" x14ac:dyDescent="0.15">
      <c r="A24" s="56">
        <v>4</v>
      </c>
      <c r="B24" s="67">
        <v>130</v>
      </c>
      <c r="C24" s="67">
        <v>89</v>
      </c>
      <c r="D24" s="67">
        <v>122</v>
      </c>
      <c r="E24" s="67">
        <v>359</v>
      </c>
      <c r="F24" s="67">
        <v>142</v>
      </c>
      <c r="G24" s="67">
        <v>270</v>
      </c>
      <c r="H24" s="67">
        <f t="shared" ref="H24:H29" si="37">B24*SIN(PI()*(360-C24)/180)</f>
        <v>-129.98020037033086</v>
      </c>
      <c r="I24" s="67">
        <f t="shared" ref="I24:I29" si="38">B24*COS(PI()*(360-C24)/180)</f>
        <v>2.268812836846807</v>
      </c>
      <c r="J24" s="67">
        <f t="shared" ref="J24:J29" si="39">D24*SIN(PI()*(360-E24)/180)</f>
        <v>2.1291935853485886</v>
      </c>
      <c r="K24" s="67">
        <f t="shared" ref="K24:K29" si="40">D24*COS(PI()*(360-E24)/180)</f>
        <v>121.98141880907974</v>
      </c>
      <c r="L24" s="67">
        <f t="shared" ref="L24:L29" si="41">F24*SIN(PI()*(360-G24)/180)</f>
        <v>142</v>
      </c>
      <c r="M24" s="67">
        <f t="shared" ref="M24:M29" si="42">F24*COS(PI()*(360-G24)/180)</f>
        <v>8.6985540298512021E-15</v>
      </c>
      <c r="N24" s="67">
        <f t="shared" ref="N24:N29" si="43">-1*(J24-H24)/(K24-I24)</f>
        <v>-1.1035545745810755</v>
      </c>
      <c r="O24" s="67">
        <f t="shared" ref="O24:O29" si="44">(I24+K24)/2-N24*(H24+J24)/2</f>
        <v>-8.420165878218377</v>
      </c>
      <c r="P24" s="67">
        <f t="shared" ref="P24:P29" si="45">-1*(L24-H24)/(M24-I24)</f>
        <v>119.87775983687118</v>
      </c>
      <c r="Q24" s="67">
        <f t="shared" ref="Q24:Q29" si="46">(I24+M24)/2-P24*(H24+L24)/2</f>
        <v>-719.3189202279716</v>
      </c>
      <c r="R24" s="67">
        <f t="shared" ref="R24:R29" si="47">(O24-Q24)/(P24-N24)</f>
        <v>5.876103742202841</v>
      </c>
      <c r="S24" s="67">
        <f t="shared" ref="S24:S29" si="48">N24*R24+O24</f>
        <v>-14.9047670436393</v>
      </c>
      <c r="T24" s="67">
        <f t="shared" ref="T24:T29" si="49">SQRT(R24^2+S24^2)</f>
        <v>16.021256998571818</v>
      </c>
      <c r="U24" s="67">
        <f t="shared" ref="U24:U29" si="50">SQRT((H24-R24)^2+(I24-S24)^2)</f>
        <v>136.93745730452525</v>
      </c>
      <c r="V24" s="67">
        <f t="shared" ref="V24:V29" si="51">MOD(540-(180/PI()*ATAN2(S24-I24,R24-H24)),360)</f>
        <v>82.795459775735594</v>
      </c>
      <c r="W24" s="67">
        <f t="shared" ref="W24:W29" si="52">MOD(540-(180/PI()*ATAN2(S24-K24,R24-J24)),360)</f>
        <v>1.5679342953608284</v>
      </c>
      <c r="X24" s="67">
        <f t="shared" ref="X24:X29" si="53">MOD(540-(180/PI()*ATAN2(S24-M24,R24-L24)),360)</f>
        <v>276.24865898909445</v>
      </c>
      <c r="Y24" s="67">
        <v>125.1</v>
      </c>
      <c r="Z24" s="67">
        <v>0</v>
      </c>
      <c r="AA24" s="58">
        <f t="shared" si="17"/>
        <v>125.1</v>
      </c>
      <c r="AB24" s="58">
        <f t="shared" ref="AB24:AB29" si="54">IF(ISERROR(AA24/factor_for_IAS),"",AA24/factor_for_IAS)</f>
        <v>125.1</v>
      </c>
      <c r="AC24" s="68">
        <v>5303</v>
      </c>
      <c r="AD24" s="67">
        <v>0</v>
      </c>
      <c r="AE24" s="60">
        <f t="shared" si="19"/>
        <v>5303</v>
      </c>
      <c r="AF24" s="69">
        <v>10.6</v>
      </c>
      <c r="AG24" s="62">
        <f t="shared" ref="AG24:AG29" si="55">U24/factor_for_GPS</f>
        <v>136.93745730452525</v>
      </c>
      <c r="AH24" s="58">
        <f t="shared" si="21"/>
        <v>136.93745730452525</v>
      </c>
      <c r="AI24" s="63">
        <f t="shared" ref="AI24:AI29" si="56">IF(ISERROR(T24/factor_for_GPS),"",T24/factor_for_GPS)</f>
        <v>16.021256998571818</v>
      </c>
      <c r="AJ24" s="64">
        <f t="shared" ref="AJ24:AJ29" si="57">IF(ISERROR(MOD(540-(180/PI()*ATAN2(S24,R24)),360)),"",MOD(540-(180/PI()*ATAN2(S24,R24)),360))</f>
        <v>21.516503421595644</v>
      </c>
      <c r="AK24" s="62">
        <f t="shared" si="24"/>
        <v>281.77403928208338</v>
      </c>
      <c r="AL24" s="65">
        <f t="shared" si="25"/>
        <v>0.2093455116427155</v>
      </c>
      <c r="AM24" s="65">
        <f t="shared" si="26"/>
        <v>2.5261497047160075E-2</v>
      </c>
      <c r="AN24" s="65">
        <f t="shared" si="27"/>
        <v>3.070724949366652E-2</v>
      </c>
      <c r="AO24" s="65">
        <f t="shared" si="28"/>
        <v>0.20831389679249768</v>
      </c>
      <c r="AP24" s="65">
        <f t="shared" si="29"/>
        <v>2.9899671356392078E-4</v>
      </c>
      <c r="AQ24" s="65">
        <f t="shared" si="30"/>
        <v>9.737007335208903E-3</v>
      </c>
      <c r="AR24" s="66">
        <f t="shared" si="31"/>
        <v>5310.9720333157175</v>
      </c>
      <c r="AS24" s="58">
        <f t="shared" si="32"/>
        <v>125.70207085382262</v>
      </c>
      <c r="AT24" s="58">
        <f t="shared" ref="AT24:AT29" si="58">IF(ISERROR(AS24-AA24),"",AS24-AA24)</f>
        <v>0.60207085382262449</v>
      </c>
      <c r="AU24" s="64">
        <f t="shared" si="34"/>
        <v>7.9720333157176171</v>
      </c>
      <c r="AV24" s="58">
        <f t="shared" si="35"/>
        <v>0.73379622048748672</v>
      </c>
      <c r="AW24" s="64">
        <f t="shared" si="36"/>
        <v>8.273702441292615</v>
      </c>
    </row>
    <row r="25" spans="1:51" s="42" customFormat="1" x14ac:dyDescent="0.15">
      <c r="A25" s="56">
        <v>5</v>
      </c>
      <c r="B25" s="67">
        <v>122</v>
      </c>
      <c r="C25" s="67">
        <v>90</v>
      </c>
      <c r="D25" s="67">
        <v>111</v>
      </c>
      <c r="E25" s="67">
        <v>360</v>
      </c>
      <c r="F25" s="67">
        <v>132</v>
      </c>
      <c r="G25" s="67">
        <v>269</v>
      </c>
      <c r="H25" s="67">
        <f t="shared" si="37"/>
        <v>-122</v>
      </c>
      <c r="I25" s="67">
        <f t="shared" si="38"/>
        <v>-2.2420216724827746E-14</v>
      </c>
      <c r="J25" s="67">
        <f t="shared" si="39"/>
        <v>0</v>
      </c>
      <c r="K25" s="67">
        <f t="shared" si="40"/>
        <v>111</v>
      </c>
      <c r="L25" s="67">
        <f t="shared" si="41"/>
        <v>131.97989576064364</v>
      </c>
      <c r="M25" s="67">
        <f t="shared" si="42"/>
        <v>-2.3037176497214191</v>
      </c>
      <c r="N25" s="67">
        <f t="shared" si="43"/>
        <v>-1.0990990990990988</v>
      </c>
      <c r="O25" s="67">
        <f t="shared" si="44"/>
        <v>-11.545045045045043</v>
      </c>
      <c r="P25" s="67">
        <f t="shared" si="45"/>
        <v>110.24784039457224</v>
      </c>
      <c r="Q25" s="67">
        <f t="shared" si="46"/>
        <v>-551.28283631181489</v>
      </c>
      <c r="R25" s="67">
        <f t="shared" si="47"/>
        <v>4.8473518331183865</v>
      </c>
      <c r="S25" s="67">
        <f t="shared" si="48"/>
        <v>-16.872765077841827</v>
      </c>
      <c r="T25" s="67">
        <f t="shared" si="49"/>
        <v>17.555256226158445</v>
      </c>
      <c r="U25" s="67">
        <f t="shared" si="50"/>
        <v>127.9646078743922</v>
      </c>
      <c r="V25" s="67">
        <f t="shared" si="51"/>
        <v>82.423204902720499</v>
      </c>
      <c r="W25" s="67">
        <f t="shared" si="52"/>
        <v>2.1709070216500663</v>
      </c>
      <c r="X25" s="67">
        <f t="shared" si="53"/>
        <v>276.53742402065711</v>
      </c>
      <c r="Y25" s="67">
        <v>116.46</v>
      </c>
      <c r="Z25" s="67">
        <v>0</v>
      </c>
      <c r="AA25" s="58">
        <f t="shared" si="17"/>
        <v>116.46</v>
      </c>
      <c r="AB25" s="58">
        <f t="shared" si="54"/>
        <v>116.46</v>
      </c>
      <c r="AC25" s="68">
        <v>5347</v>
      </c>
      <c r="AD25" s="67">
        <v>0</v>
      </c>
      <c r="AE25" s="60">
        <f t="shared" si="19"/>
        <v>5347</v>
      </c>
      <c r="AF25" s="69">
        <v>10.6</v>
      </c>
      <c r="AG25" s="62">
        <f t="shared" si="55"/>
        <v>127.9646078743922</v>
      </c>
      <c r="AH25" s="58">
        <f t="shared" si="21"/>
        <v>127.9646078743922</v>
      </c>
      <c r="AI25" s="63">
        <f t="shared" si="56"/>
        <v>17.555256226158445</v>
      </c>
      <c r="AJ25" s="64">
        <f t="shared" si="57"/>
        <v>16.028751235382344</v>
      </c>
      <c r="AK25" s="62">
        <f t="shared" si="24"/>
        <v>282.02450570406245</v>
      </c>
      <c r="AL25" s="65">
        <f t="shared" si="25"/>
        <v>0.19554122441548913</v>
      </c>
      <c r="AM25" s="65">
        <f t="shared" si="26"/>
        <v>2.1866588035100998E-2</v>
      </c>
      <c r="AN25" s="65">
        <f t="shared" si="27"/>
        <v>2.6624388827582043E-2</v>
      </c>
      <c r="AO25" s="65">
        <f t="shared" si="28"/>
        <v>0.19410972083206765</v>
      </c>
      <c r="AP25" s="65">
        <f t="shared" si="29"/>
        <v>3.8750897418654546E-4</v>
      </c>
      <c r="AQ25" s="65">
        <f t="shared" si="30"/>
        <v>1.4554661768802676E-2</v>
      </c>
      <c r="AR25" s="66">
        <f t="shared" si="31"/>
        <v>5357.328757390691</v>
      </c>
      <c r="AS25" s="58">
        <f t="shared" si="32"/>
        <v>117.29774096149403</v>
      </c>
      <c r="AT25" s="58">
        <f t="shared" si="58"/>
        <v>0.83774096149403476</v>
      </c>
      <c r="AU25" s="64">
        <f t="shared" si="34"/>
        <v>10.328757390690678</v>
      </c>
      <c r="AV25" s="58">
        <f t="shared" si="35"/>
        <v>1.0240006594259317</v>
      </c>
      <c r="AW25" s="64">
        <f t="shared" si="36"/>
        <v>10.722973866616087</v>
      </c>
    </row>
    <row r="26" spans="1:51" s="42" customFormat="1" x14ac:dyDescent="0.15">
      <c r="A26" s="56">
        <v>6</v>
      </c>
      <c r="B26" s="67">
        <v>134</v>
      </c>
      <c r="C26" s="67">
        <v>186</v>
      </c>
      <c r="D26" s="67">
        <v>113</v>
      </c>
      <c r="E26" s="67">
        <v>99</v>
      </c>
      <c r="F26" s="67">
        <v>102</v>
      </c>
      <c r="G26" s="67">
        <v>355</v>
      </c>
      <c r="H26" s="67">
        <f t="shared" ref="H26" si="59">B26*SIN(PI()*(360-C26)/180)</f>
        <v>14.006814077865601</v>
      </c>
      <c r="I26" s="67">
        <f t="shared" ref="I26" si="60">B26*COS(PI()*(360-C26)/180)</f>
        <v>-133.26593397934863</v>
      </c>
      <c r="J26" s="67">
        <f t="shared" ref="J26" si="61">D26*SIN(PI()*(360-E26)/180)</f>
        <v>-111.60878248725055</v>
      </c>
      <c r="K26" s="67">
        <f t="shared" ref="K26" si="62">D26*COS(PI()*(360-E26)/180)</f>
        <v>-17.677094549546108</v>
      </c>
      <c r="L26" s="67">
        <f t="shared" ref="L26" si="63">F26*SIN(PI()*(360-G26)/180)</f>
        <v>8.8898857602611336</v>
      </c>
      <c r="M26" s="67">
        <f t="shared" ref="M26" si="64">F26*COS(PI()*(360-G26)/180)</f>
        <v>101.61185920535804</v>
      </c>
      <c r="N26" s="67">
        <f t="shared" ref="N26" si="65">-1*(J26-H26)/(K26-I26)</f>
        <v>1.0867450281945508</v>
      </c>
      <c r="O26" s="67">
        <f t="shared" ref="O26" si="66">(I26+K26)/2-N26*(H26+J26)/2</f>
        <v>-22.437287308997014</v>
      </c>
      <c r="P26" s="67">
        <f t="shared" ref="P26" si="67">-1*(L26-H26)/(M26-I26)</f>
        <v>2.1785492141356E-2</v>
      </c>
      <c r="Q26" s="67">
        <f t="shared" ref="Q26" si="68">(I26+M26)/2-P26*(H26+L26)/2</f>
        <v>-16.076445324188541</v>
      </c>
      <c r="R26" s="67">
        <f t="shared" ref="R26" si="69">(O26-Q26)/(P26-N26)</f>
        <v>5.9728485162752225</v>
      </c>
      <c r="S26" s="67">
        <f t="shared" ref="S26" si="70">N26*R26+O26</f>
        <v>-15.946323879775717</v>
      </c>
      <c r="T26" s="67">
        <f t="shared" ref="T26" si="71">SQRT(R26^2+S26^2)</f>
        <v>17.028216720404881</v>
      </c>
      <c r="U26" s="67">
        <f t="shared" ref="U26" si="72">SQRT((H26-R26)^2+(I26-S26)^2)</f>
        <v>117.59436855802505</v>
      </c>
      <c r="V26" s="67">
        <f t="shared" ref="V26" si="73">MOD(540-(180/PI()*ATAN2(S26-I26,R26-H26)),360)</f>
        <v>183.91745936502934</v>
      </c>
      <c r="W26" s="67">
        <f t="shared" ref="W26" si="74">MOD(540-(180/PI()*ATAN2(S26-K26,R26-J26)),360)</f>
        <v>90.84331789461794</v>
      </c>
      <c r="X26" s="67">
        <f t="shared" ref="X26" si="75">MOD(540-(180/PI()*ATAN2(S26-M26,R26-L26)),360)</f>
        <v>358.57857931386661</v>
      </c>
      <c r="Y26" s="67">
        <v>105.76</v>
      </c>
      <c r="Z26" s="67">
        <v>0</v>
      </c>
      <c r="AA26" s="58">
        <f t="shared" si="17"/>
        <v>105.76</v>
      </c>
      <c r="AB26" s="58">
        <f t="shared" ref="AB26" si="76">IF(ISERROR(AA26/factor_for_IAS),"",AA26/factor_for_IAS)</f>
        <v>105.76</v>
      </c>
      <c r="AC26" s="68">
        <v>5375</v>
      </c>
      <c r="AD26" s="67">
        <v>0</v>
      </c>
      <c r="AE26" s="60">
        <f t="shared" si="19"/>
        <v>5375</v>
      </c>
      <c r="AF26" s="69">
        <v>10.6</v>
      </c>
      <c r="AG26" s="62">
        <f t="shared" ref="AG26" si="77">U26/factor_for_GPS</f>
        <v>117.59436855802505</v>
      </c>
      <c r="AH26" s="58">
        <f t="shared" si="21"/>
        <v>117.59436855802505</v>
      </c>
      <c r="AI26" s="63">
        <f t="shared" ref="AI26" si="78">IF(ISERROR(T26/factor_for_GPS),"",T26/factor_for_GPS)</f>
        <v>17.028216720404881</v>
      </c>
      <c r="AJ26" s="64">
        <f t="shared" ref="AJ26" si="79">IF(ISERROR(MOD(540-(180/PI()*ATAN2(S26,R26)),360)),"",MOD(540-(180/PI()*ATAN2(S26,R26)),360))</f>
        <v>20.533919321618725</v>
      </c>
      <c r="AK26" s="62">
        <f t="shared" si="24"/>
        <v>282.29284135758053</v>
      </c>
      <c r="AL26" s="65">
        <f t="shared" si="25"/>
        <v>0.17960915735270044</v>
      </c>
      <c r="AM26" s="65">
        <f t="shared" si="26"/>
        <v>1.8008650283313887E-2</v>
      </c>
      <c r="AN26" s="65">
        <f t="shared" si="27"/>
        <v>2.195007686801427E-2</v>
      </c>
      <c r="AO26" s="65">
        <f t="shared" si="28"/>
        <v>0.17639294612835743</v>
      </c>
      <c r="AP26" s="65">
        <f t="shared" si="29"/>
        <v>7.9643764705146134E-4</v>
      </c>
      <c r="AQ26" s="65">
        <f t="shared" si="30"/>
        <v>3.6284048199030826E-2</v>
      </c>
      <c r="AR26" s="66">
        <f t="shared" si="31"/>
        <v>5396.2241977804897</v>
      </c>
      <c r="AS26" s="58">
        <f t="shared" si="32"/>
        <v>107.64847266892417</v>
      </c>
      <c r="AT26" s="58">
        <f t="shared" ref="AT26" si="80">IF(ISERROR(AS26-AA26),"",AS26-AA26)</f>
        <v>1.888472668924166</v>
      </c>
      <c r="AU26" s="64">
        <f t="shared" si="34"/>
        <v>21.224197780489845</v>
      </c>
      <c r="AV26" s="58">
        <f t="shared" si="35"/>
        <v>2.3238012189677861</v>
      </c>
      <c r="AW26" s="64">
        <f t="shared" si="36"/>
        <v>22.038663991329436</v>
      </c>
    </row>
    <row r="27" spans="1:51" s="42" customFormat="1" x14ac:dyDescent="0.15">
      <c r="A27" s="56">
        <v>7</v>
      </c>
      <c r="B27" s="67">
        <v>109</v>
      </c>
      <c r="C27" s="67">
        <v>261</v>
      </c>
      <c r="D27" s="67">
        <v>120</v>
      </c>
      <c r="E27" s="67">
        <v>186</v>
      </c>
      <c r="F27" s="67">
        <v>101</v>
      </c>
      <c r="G27" s="67">
        <v>106</v>
      </c>
      <c r="H27" s="67">
        <f t="shared" si="37"/>
        <v>107.65802912487</v>
      </c>
      <c r="I27" s="67">
        <f t="shared" si="38"/>
        <v>-17.051356689385184</v>
      </c>
      <c r="J27" s="67">
        <f t="shared" si="39"/>
        <v>12.543415592118448</v>
      </c>
      <c r="K27" s="67">
        <f t="shared" si="40"/>
        <v>-119.3426274441928</v>
      </c>
      <c r="L27" s="67">
        <f t="shared" si="41"/>
        <v>-97.087431289770223</v>
      </c>
      <c r="M27" s="67">
        <f t="shared" si="42"/>
        <v>-27.839372937516888</v>
      </c>
      <c r="N27" s="67">
        <f t="shared" si="43"/>
        <v>-0.92984096131469007</v>
      </c>
      <c r="O27" s="67">
        <f t="shared" si="44"/>
        <v>-12.312878613259436</v>
      </c>
      <c r="P27" s="67">
        <f t="shared" si="45"/>
        <v>-18.978972195198402</v>
      </c>
      <c r="Q27" s="67">
        <f t="shared" si="46"/>
        <v>77.864176386040498</v>
      </c>
      <c r="R27" s="67">
        <f t="shared" si="47"/>
        <v>4.9961991982201424</v>
      </c>
      <c r="S27" s="67">
        <f t="shared" si="48"/>
        <v>-16.958549278652136</v>
      </c>
      <c r="T27" s="67">
        <f t="shared" si="49"/>
        <v>17.679208128894473</v>
      </c>
      <c r="U27" s="67">
        <f t="shared" si="50"/>
        <v>102.66187187609559</v>
      </c>
      <c r="V27" s="67">
        <f t="shared" si="51"/>
        <v>269.94820400632057</v>
      </c>
      <c r="W27" s="67">
        <f t="shared" si="52"/>
        <v>184.215918668065</v>
      </c>
      <c r="X27" s="67">
        <f t="shared" si="53"/>
        <v>96.084034734869817</v>
      </c>
      <c r="Y27" s="67">
        <v>92.26</v>
      </c>
      <c r="Z27" s="67">
        <v>0</v>
      </c>
      <c r="AA27" s="58">
        <f t="shared" si="17"/>
        <v>92.26</v>
      </c>
      <c r="AB27" s="58">
        <f t="shared" si="54"/>
        <v>92.26</v>
      </c>
      <c r="AC27" s="68">
        <v>5301</v>
      </c>
      <c r="AD27" s="67">
        <v>0</v>
      </c>
      <c r="AE27" s="60">
        <f t="shared" si="19"/>
        <v>5301</v>
      </c>
      <c r="AF27" s="69">
        <v>10.6</v>
      </c>
      <c r="AG27" s="62">
        <f t="shared" si="55"/>
        <v>102.66187187609559</v>
      </c>
      <c r="AH27" s="58">
        <f t="shared" si="21"/>
        <v>102.66187187609559</v>
      </c>
      <c r="AI27" s="63">
        <f t="shared" si="56"/>
        <v>17.679208128894473</v>
      </c>
      <c r="AJ27" s="64">
        <f t="shared" si="57"/>
        <v>16.415628062974349</v>
      </c>
      <c r="AK27" s="62">
        <f t="shared" si="24"/>
        <v>282.63941412675405</v>
      </c>
      <c r="AL27" s="65">
        <f t="shared" si="25"/>
        <v>0.15670566617559187</v>
      </c>
      <c r="AM27" s="65">
        <f t="shared" si="26"/>
        <v>1.3683670019793315E-2</v>
      </c>
      <c r="AN27" s="65">
        <f t="shared" si="27"/>
        <v>1.6632282392383669E-2</v>
      </c>
      <c r="AO27" s="65">
        <f t="shared" si="28"/>
        <v>0.15368991730086207</v>
      </c>
      <c r="AP27" s="65">
        <f t="shared" si="29"/>
        <v>6.5211119581809202E-4</v>
      </c>
      <c r="AQ27" s="65">
        <f t="shared" si="30"/>
        <v>3.9207559157167136E-2</v>
      </c>
      <c r="AR27" s="66">
        <f t="shared" si="31"/>
        <v>5318.3872358304498</v>
      </c>
      <c r="AS27" s="58">
        <f t="shared" si="32"/>
        <v>94.041765942135413</v>
      </c>
      <c r="AT27" s="58">
        <f t="shared" si="58"/>
        <v>1.781765942135408</v>
      </c>
      <c r="AU27" s="64">
        <f t="shared" si="34"/>
        <v>17.387235830449736</v>
      </c>
      <c r="AV27" s="58">
        <f t="shared" si="35"/>
        <v>2.1877493832948001</v>
      </c>
      <c r="AW27" s="64">
        <f t="shared" si="36"/>
        <v>18.044927412491269</v>
      </c>
    </row>
    <row r="28" spans="1:51" s="42" customFormat="1" x14ac:dyDescent="0.15">
      <c r="A28" s="56">
        <v>8</v>
      </c>
      <c r="B28" s="67">
        <v>69</v>
      </c>
      <c r="C28" s="67">
        <v>358</v>
      </c>
      <c r="D28" s="67">
        <v>90</v>
      </c>
      <c r="E28" s="67">
        <v>260</v>
      </c>
      <c r="F28" s="67">
        <v>102</v>
      </c>
      <c r="G28" s="67">
        <v>185</v>
      </c>
      <c r="H28" s="67">
        <f t="shared" si="37"/>
        <v>2.4080652724725669</v>
      </c>
      <c r="I28" s="67">
        <f t="shared" si="38"/>
        <v>68.957967064317614</v>
      </c>
      <c r="J28" s="67">
        <f t="shared" si="39"/>
        <v>88.632697771098719</v>
      </c>
      <c r="K28" s="67">
        <f t="shared" si="40"/>
        <v>-15.628335990023727</v>
      </c>
      <c r="L28" s="67">
        <f t="shared" si="41"/>
        <v>8.8898857602611816</v>
      </c>
      <c r="M28" s="67">
        <f t="shared" si="42"/>
        <v>-101.61185920535804</v>
      </c>
      <c r="N28" s="67">
        <f t="shared" si="43"/>
        <v>1.0193687321129554</v>
      </c>
      <c r="O28" s="67">
        <f t="shared" si="44"/>
        <v>-19.737238060013695</v>
      </c>
      <c r="P28" s="67">
        <f t="shared" si="45"/>
        <v>3.8000979596125486E-2</v>
      </c>
      <c r="Q28" s="67">
        <f t="shared" si="46"/>
        <v>-16.541612673856687</v>
      </c>
      <c r="R28" s="67">
        <f t="shared" si="47"/>
        <v>3.2562975275695183</v>
      </c>
      <c r="S28" s="67">
        <f t="shared" si="48"/>
        <v>-16.417870177952604</v>
      </c>
      <c r="T28" s="67">
        <f t="shared" si="49"/>
        <v>16.737680089192793</v>
      </c>
      <c r="U28" s="67">
        <f t="shared" si="50"/>
        <v>85.380050847825117</v>
      </c>
      <c r="V28" s="67">
        <f t="shared" si="51"/>
        <v>0.56923048520332031</v>
      </c>
      <c r="W28" s="67">
        <f t="shared" si="52"/>
        <v>270.52983830585219</v>
      </c>
      <c r="X28" s="67">
        <f t="shared" si="53"/>
        <v>183.78326670743013</v>
      </c>
      <c r="Y28" s="67">
        <v>75.27</v>
      </c>
      <c r="Z28" s="67">
        <v>0</v>
      </c>
      <c r="AA28" s="58">
        <f t="shared" si="17"/>
        <v>75.27</v>
      </c>
      <c r="AB28" s="58">
        <f t="shared" si="54"/>
        <v>75.27</v>
      </c>
      <c r="AC28" s="68">
        <v>5296</v>
      </c>
      <c r="AD28" s="67">
        <v>0</v>
      </c>
      <c r="AE28" s="60">
        <f t="shared" si="19"/>
        <v>5296</v>
      </c>
      <c r="AF28" s="69">
        <v>10.6</v>
      </c>
      <c r="AG28" s="62">
        <f t="shared" si="55"/>
        <v>85.380050847825117</v>
      </c>
      <c r="AH28" s="58">
        <f t="shared" si="21"/>
        <v>85.380050847825117</v>
      </c>
      <c r="AI28" s="63">
        <f t="shared" si="56"/>
        <v>16.737680089192793</v>
      </c>
      <c r="AJ28" s="64">
        <f t="shared" si="57"/>
        <v>11.218373766098011</v>
      </c>
      <c r="AK28" s="62">
        <f t="shared" si="24"/>
        <v>282.98184899022368</v>
      </c>
      <c r="AL28" s="65">
        <f t="shared" si="25"/>
        <v>0.13024738198177721</v>
      </c>
      <c r="AM28" s="65">
        <f t="shared" si="26"/>
        <v>9.0931387375869921E-3</v>
      </c>
      <c r="AN28" s="65">
        <f t="shared" si="27"/>
        <v>1.1050492563675964E-2</v>
      </c>
      <c r="AO28" s="65">
        <f t="shared" si="28"/>
        <v>0.12539739107754741</v>
      </c>
      <c r="AP28" s="65">
        <f t="shared" si="29"/>
        <v>8.6508552604941261E-4</v>
      </c>
      <c r="AQ28" s="65">
        <f t="shared" si="30"/>
        <v>7.8284793285417181E-2</v>
      </c>
      <c r="AR28" s="66">
        <f t="shared" si="31"/>
        <v>5319.0665917167998</v>
      </c>
      <c r="AS28" s="58">
        <f t="shared" si="32"/>
        <v>78.149649316561266</v>
      </c>
      <c r="AT28" s="58">
        <f t="shared" si="58"/>
        <v>2.8796493165612702</v>
      </c>
      <c r="AU28" s="64">
        <f t="shared" si="34"/>
        <v>23.066591716799532</v>
      </c>
      <c r="AV28" s="58">
        <f t="shared" si="35"/>
        <v>3.5689009224733876</v>
      </c>
      <c r="AW28" s="64">
        <f t="shared" si="36"/>
        <v>23.938257191819531</v>
      </c>
    </row>
    <row r="29" spans="1:51" s="42" customFormat="1" x14ac:dyDescent="0.15">
      <c r="A29" s="56">
        <v>9</v>
      </c>
      <c r="B29" s="57">
        <v>70</v>
      </c>
      <c r="C29" s="57">
        <v>106</v>
      </c>
      <c r="D29" s="57">
        <v>55</v>
      </c>
      <c r="E29" s="57">
        <v>356</v>
      </c>
      <c r="F29" s="57">
        <v>78</v>
      </c>
      <c r="G29" s="57">
        <v>257</v>
      </c>
      <c r="H29" s="57">
        <f t="shared" si="37"/>
        <v>-67.288318715682337</v>
      </c>
      <c r="I29" s="57">
        <f t="shared" si="38"/>
        <v>-19.294614907189921</v>
      </c>
      <c r="J29" s="57">
        <f t="shared" si="39"/>
        <v>3.8366060559268917</v>
      </c>
      <c r="K29" s="57">
        <f t="shared" si="40"/>
        <v>54.866022764290328</v>
      </c>
      <c r="L29" s="57">
        <f t="shared" si="41"/>
        <v>76.000865053248347</v>
      </c>
      <c r="M29" s="57">
        <f t="shared" si="42"/>
        <v>-17.546182238821455</v>
      </c>
      <c r="N29" s="57">
        <f t="shared" si="43"/>
        <v>-0.95906571201128643</v>
      </c>
      <c r="O29" s="57">
        <f t="shared" si="44"/>
        <v>-12.64147706163175</v>
      </c>
      <c r="P29" s="57">
        <f t="shared" si="45"/>
        <v>-81.952932109555988</v>
      </c>
      <c r="Q29" s="57">
        <f t="shared" si="46"/>
        <v>338.5889606789483</v>
      </c>
      <c r="R29" s="57">
        <f t="shared" si="47"/>
        <v>4.3365066191139068</v>
      </c>
      <c r="S29" s="57">
        <f t="shared" si="48"/>
        <v>-16.800471869933887</v>
      </c>
      <c r="T29" s="57">
        <f t="shared" si="49"/>
        <v>17.351113644664384</v>
      </c>
      <c r="U29" s="57">
        <f t="shared" si="50"/>
        <v>71.668238109572385</v>
      </c>
      <c r="V29" s="57">
        <f t="shared" si="51"/>
        <v>91.994366469722308</v>
      </c>
      <c r="W29" s="57">
        <f t="shared" si="52"/>
        <v>0.39965297688939927</v>
      </c>
      <c r="X29" s="57">
        <f t="shared" si="53"/>
        <v>269.40382477656772</v>
      </c>
      <c r="Y29" s="57">
        <v>62.25</v>
      </c>
      <c r="Z29" s="57">
        <v>0</v>
      </c>
      <c r="AA29" s="58">
        <f t="shared" si="17"/>
        <v>62.25</v>
      </c>
      <c r="AB29" s="58">
        <f t="shared" si="54"/>
        <v>62.25</v>
      </c>
      <c r="AC29" s="70">
        <v>5363</v>
      </c>
      <c r="AD29" s="57">
        <v>0</v>
      </c>
      <c r="AE29" s="60">
        <f t="shared" si="19"/>
        <v>5363</v>
      </c>
      <c r="AF29" s="61">
        <v>10.6</v>
      </c>
      <c r="AG29" s="62">
        <f t="shared" si="55"/>
        <v>71.668238109572385</v>
      </c>
      <c r="AH29" s="58">
        <f t="shared" si="21"/>
        <v>71.668238109572385</v>
      </c>
      <c r="AI29" s="63">
        <f t="shared" si="56"/>
        <v>17.351113644664384</v>
      </c>
      <c r="AJ29" s="64">
        <f t="shared" si="57"/>
        <v>14.47317486555221</v>
      </c>
      <c r="AK29" s="62">
        <f t="shared" si="24"/>
        <v>283.20876329254685</v>
      </c>
      <c r="AL29" s="65">
        <f t="shared" si="25"/>
        <v>0.10928618546672432</v>
      </c>
      <c r="AM29" s="65">
        <f t="shared" si="26"/>
        <v>6.2130471300958501E-3</v>
      </c>
      <c r="AN29" s="65">
        <f t="shared" si="27"/>
        <v>7.569443981224961E-3</v>
      </c>
      <c r="AO29" s="65">
        <f t="shared" si="28"/>
        <v>0.10384789020832577</v>
      </c>
      <c r="AP29" s="65">
        <f t="shared" si="29"/>
        <v>8.0952155147044223E-4</v>
      </c>
      <c r="AQ29" s="65">
        <f t="shared" si="30"/>
        <v>0.10694597297745476</v>
      </c>
      <c r="AR29" s="66">
        <f t="shared" si="31"/>
        <v>5384.5747178295433</v>
      </c>
      <c r="AS29" s="58">
        <f t="shared" si="32"/>
        <v>65.485144743807055</v>
      </c>
      <c r="AT29" s="58">
        <f t="shared" si="58"/>
        <v>3.2351447438070551</v>
      </c>
      <c r="AU29" s="64">
        <f t="shared" si="34"/>
        <v>21.574717829542998</v>
      </c>
      <c r="AV29" s="58">
        <f t="shared" si="35"/>
        <v>4.0464396768351039</v>
      </c>
      <c r="AW29" s="64">
        <f t="shared" si="36"/>
        <v>22.400715903682038</v>
      </c>
    </row>
    <row r="30" spans="1:51" s="42" customFormat="1" x14ac:dyDescent="0.15">
      <c r="A30" s="56">
        <v>10</v>
      </c>
      <c r="B30" s="57">
        <v>71</v>
      </c>
      <c r="C30" s="57">
        <v>258</v>
      </c>
      <c r="D30" s="57">
        <v>82</v>
      </c>
      <c r="E30" s="57">
        <v>186</v>
      </c>
      <c r="F30" s="57">
        <v>61</v>
      </c>
      <c r="G30" s="57">
        <v>103</v>
      </c>
      <c r="H30" s="57">
        <f t="shared" ref="H30" si="81">B30*SIN(PI()*(360-C30)/180)</f>
        <v>69.448479652100204</v>
      </c>
      <c r="I30" s="57">
        <f t="shared" ref="I30" si="82">B30*COS(PI()*(360-C30)/180)</f>
        <v>-14.761730048060898</v>
      </c>
      <c r="J30" s="57">
        <f t="shared" ref="J30" si="83">D30*SIN(PI()*(360-E30)/180)</f>
        <v>8.5713339879476056</v>
      </c>
      <c r="K30" s="57">
        <f t="shared" ref="K30" si="84">D30*COS(PI()*(360-E30)/180)</f>
        <v>-81.550795420198412</v>
      </c>
      <c r="L30" s="57">
        <f t="shared" ref="L30" si="85">F30*SIN(PI()*(360-G30)/180)</f>
        <v>-59.436573951899341</v>
      </c>
      <c r="M30" s="57">
        <f t="shared" ref="M30" si="86">F30*COS(PI()*(360-G30)/180)</f>
        <v>-13.72201431497578</v>
      </c>
      <c r="N30" s="57">
        <f t="shared" ref="N30" si="87">-1*(J30-H30)/(K30-I30)</f>
        <v>-0.91148371855415722</v>
      </c>
      <c r="O30" s="57">
        <f t="shared" ref="O30" si="88">(I30+K30)/2-N30*(H30+J30)/2</f>
        <v>-12.599367805363087</v>
      </c>
      <c r="P30" s="57">
        <f t="shared" ref="P30" si="89">-1*(L30-H30)/(M30-I30)</f>
        <v>123.96181908449419</v>
      </c>
      <c r="Q30" s="57">
        <f t="shared" ref="Q30" si="90">(I30+M30)/2-P30*(H30+L30)/2</f>
        <v>-634.78889373117613</v>
      </c>
      <c r="R30" s="57">
        <f t="shared" ref="R30" si="91">(O30-Q30)/(P30-N30)</f>
        <v>4.9825664250038919</v>
      </c>
      <c r="S30" s="57">
        <f t="shared" ref="S30" si="92">N30*R30+O30</f>
        <v>-17.140895978368729</v>
      </c>
      <c r="T30" s="57">
        <f t="shared" ref="T30" si="93">SQRT(R30^2+S30^2)</f>
        <v>17.850386077640824</v>
      </c>
      <c r="U30" s="57">
        <f t="shared" ref="U30" si="94">SQRT((H30-R30)^2+(I30-S30)^2)</f>
        <v>64.509800795905804</v>
      </c>
      <c r="V30" s="57">
        <f t="shared" ref="V30" si="95">MOD(540-(180/PI()*ATAN2(S30-I30,R30-H30)),360)</f>
        <v>272.11358718141992</v>
      </c>
      <c r="W30" s="57">
        <f t="shared" ref="W30" si="96">MOD(540-(180/PI()*ATAN2(S30-K30,R30-J30)),360)</f>
        <v>183.18908819305375</v>
      </c>
      <c r="X30" s="57">
        <f t="shared" ref="X30" si="97">MOD(540-(180/PI()*ATAN2(S30-M30,R30-L30)),360)</f>
        <v>86.962022758554326</v>
      </c>
      <c r="Y30" s="57">
        <v>56.17</v>
      </c>
      <c r="Z30" s="57">
        <v>0</v>
      </c>
      <c r="AA30" s="58">
        <f t="shared" si="17"/>
        <v>56.17</v>
      </c>
      <c r="AB30" s="58">
        <f t="shared" ref="AB30" si="98">IF(ISERROR(AA30/factor_for_IAS),"",AA30/factor_for_IAS)</f>
        <v>56.17</v>
      </c>
      <c r="AC30" s="70">
        <v>5310</v>
      </c>
      <c r="AD30" s="57">
        <v>0</v>
      </c>
      <c r="AE30" s="60">
        <f t="shared" si="19"/>
        <v>5310</v>
      </c>
      <c r="AF30" s="61">
        <v>10.6</v>
      </c>
      <c r="AG30" s="62">
        <f t="shared" ref="AG30" si="99">U30/factor_for_GPS</f>
        <v>64.509800795905804</v>
      </c>
      <c r="AH30" s="58">
        <f t="shared" si="21"/>
        <v>64.509800795905804</v>
      </c>
      <c r="AI30" s="63">
        <f t="shared" ref="AI30" si="100">IF(ISERROR(T30/factor_for_GPS),"",T30/factor_for_GPS)</f>
        <v>17.850386077640824</v>
      </c>
      <c r="AJ30" s="64">
        <f t="shared" ref="AJ30" si="101">IF(ISERROR(MOD(540-(180/PI()*ATAN2(S30,R30)),360)),"",MOD(540-(180/PI()*ATAN2(S30,R30)),360))</f>
        <v>16.208247681951775</v>
      </c>
      <c r="AK30" s="62">
        <f t="shared" si="24"/>
        <v>283.31148425724683</v>
      </c>
      <c r="AL30" s="65">
        <f t="shared" si="25"/>
        <v>9.835252059498871E-2</v>
      </c>
      <c r="AM30" s="65">
        <f t="shared" si="26"/>
        <v>5.0565720441497763E-3</v>
      </c>
      <c r="AN30" s="65">
        <f t="shared" si="27"/>
        <v>6.1482575615787842E-3</v>
      </c>
      <c r="AO30" s="65">
        <f t="shared" si="28"/>
        <v>9.3616271577414145E-2</v>
      </c>
      <c r="AP30" s="65">
        <f t="shared" si="29"/>
        <v>6.3527783884088831E-4</v>
      </c>
      <c r="AQ30" s="65">
        <f t="shared" si="30"/>
        <v>0.10332648437027386</v>
      </c>
      <c r="AR30" s="66">
        <f t="shared" si="31"/>
        <v>5326.9373203620553</v>
      </c>
      <c r="AS30" s="58">
        <f t="shared" si="32"/>
        <v>58.994241429667611</v>
      </c>
      <c r="AT30" s="58">
        <f t="shared" ref="AT30" si="102">IF(ISERROR(AS30-AA30),"",AS30-AA30)</f>
        <v>2.8242414296676088</v>
      </c>
      <c r="AU30" s="64">
        <f t="shared" si="34"/>
        <v>16.937320362054976</v>
      </c>
      <c r="AV30" s="58">
        <f t="shared" si="35"/>
        <v>3.5220866245035407</v>
      </c>
      <c r="AW30" s="64">
        <f t="shared" si="36"/>
        <v>17.57912233705299</v>
      </c>
    </row>
    <row r="31" spans="1:51" s="42" customFormat="1" x14ac:dyDescent="0.15">
      <c r="A31" s="56">
        <v>11</v>
      </c>
      <c r="B31" s="57">
        <v>58</v>
      </c>
      <c r="C31" s="57">
        <v>106</v>
      </c>
      <c r="D31" s="57">
        <v>46</v>
      </c>
      <c r="E31" s="57">
        <v>347</v>
      </c>
      <c r="F31" s="57">
        <v>68</v>
      </c>
      <c r="G31" s="57">
        <v>251</v>
      </c>
      <c r="H31" s="57">
        <f t="shared" ref="H31" si="103">B31*SIN(PI()*(360-C31)/180)</f>
        <v>-55.753178364422503</v>
      </c>
      <c r="I31" s="57">
        <f t="shared" ref="I31" si="104">B31*COS(PI()*(360-C31)/180)</f>
        <v>-15.986966637385935</v>
      </c>
      <c r="J31" s="57">
        <f t="shared" ref="J31" si="105">D31*SIN(PI()*(360-E31)/180)</f>
        <v>10.34774849981779</v>
      </c>
      <c r="K31" s="57">
        <f t="shared" ref="K31" si="106">D31*COS(PI()*(360-E31)/180)</f>
        <v>44.821022980120823</v>
      </c>
      <c r="L31" s="57">
        <f t="shared" ref="L31" si="107">F31*SIN(PI()*(360-G31)/180)</f>
        <v>64.295263140753548</v>
      </c>
      <c r="M31" s="57">
        <f t="shared" ref="M31" si="108">F31*COS(PI()*(360-G31)/180)</f>
        <v>-22.138634503086635</v>
      </c>
      <c r="N31" s="57">
        <f t="shared" ref="N31" si="109">-1*(J31-H31)/(K31-I31)</f>
        <v>-1.0870434507048674</v>
      </c>
      <c r="O31" s="57">
        <f t="shared" ref="O31" si="110">(I31+K31)/2-N31*(H31+J31)/2</f>
        <v>-10.26180940901143</v>
      </c>
      <c r="P31" s="57">
        <f t="shared" ref="P31" si="111">-1*(L31-H31)/(M31-I31)</f>
        <v>19.514779426652616</v>
      </c>
      <c r="Q31" s="57">
        <f t="shared" ref="Q31" si="112">(I31+M31)/2-P31*(H31+L31)/2</f>
        <v>-102.41125069717009</v>
      </c>
      <c r="R31" s="57">
        <f t="shared" ref="R31" si="113">(O31-Q31)/(P31-N31)</f>
        <v>4.4728780475749002</v>
      </c>
      <c r="S31" s="57">
        <f t="shared" ref="S31" si="114">N31*R31+O31</f>
        <v>-15.124022196429301</v>
      </c>
      <c r="T31" s="57">
        <f t="shared" ref="T31" si="115">SQRT(R31^2+S31^2)</f>
        <v>15.771578406315699</v>
      </c>
      <c r="U31" s="57">
        <f t="shared" ref="U31" si="116">SQRT((H31-R31)^2+(I31-S31)^2)</f>
        <v>60.232238411412801</v>
      </c>
      <c r="V31" s="57">
        <f t="shared" ref="V31" si="117">MOD(540-(180/PI()*ATAN2(S31-I31,R31-H31)),360)</f>
        <v>90.820902017623894</v>
      </c>
      <c r="W31" s="57">
        <f t="shared" ref="W31" si="118">MOD(540-(180/PI()*ATAN2(S31-K31,R31-J31)),360)</f>
        <v>354.40264379242797</v>
      </c>
      <c r="X31" s="57">
        <f t="shared" ref="X31" si="119">MOD(540-(180/PI()*ATAN2(S31-M31,R31-L31)),360)</f>
        <v>263.31218995711254</v>
      </c>
      <c r="Y31" s="57">
        <v>52.3</v>
      </c>
      <c r="Z31" s="57">
        <v>0</v>
      </c>
      <c r="AA31" s="58">
        <f t="shared" si="17"/>
        <v>52.3</v>
      </c>
      <c r="AB31" s="58">
        <f t="shared" ref="AB31" si="120">IF(ISERROR(AA31/factor_for_IAS),"",AA31/factor_for_IAS)</f>
        <v>52.3</v>
      </c>
      <c r="AC31" s="70">
        <v>5313</v>
      </c>
      <c r="AD31" s="57">
        <v>0</v>
      </c>
      <c r="AE31" s="60">
        <f t="shared" si="19"/>
        <v>5313</v>
      </c>
      <c r="AF31" s="61">
        <v>11.1</v>
      </c>
      <c r="AG31" s="62">
        <f t="shared" ref="AG31" si="121">U31/factor_for_GPS</f>
        <v>60.232238411412801</v>
      </c>
      <c r="AH31" s="58">
        <f t="shared" si="21"/>
        <v>60.232238411412801</v>
      </c>
      <c r="AI31" s="63">
        <f t="shared" ref="AI31" si="122">IF(ISERROR(T31/factor_for_GPS),"",T31/factor_for_GPS)</f>
        <v>15.771578406315699</v>
      </c>
      <c r="AJ31" s="64">
        <f t="shared" ref="AJ31" si="123">IF(ISERROR(MOD(540-(180/PI()*ATAN2(S31,R31)),360)),"",MOD(540-(180/PI()*ATAN2(S31,R31)),360))</f>
        <v>16.475403302020936</v>
      </c>
      <c r="AK31" s="62">
        <f t="shared" si="24"/>
        <v>283.86771100694949</v>
      </c>
      <c r="AL31" s="65">
        <f t="shared" si="25"/>
        <v>9.1740877259155598E-2</v>
      </c>
      <c r="AM31" s="65">
        <f t="shared" si="26"/>
        <v>4.3827490252341672E-3</v>
      </c>
      <c r="AN31" s="65">
        <f t="shared" si="27"/>
        <v>5.3295595909787757E-3</v>
      </c>
      <c r="AO31" s="65">
        <f t="shared" si="28"/>
        <v>8.7173439720346135E-2</v>
      </c>
      <c r="AP31" s="65">
        <f t="shared" si="29"/>
        <v>5.711119032168633E-4</v>
      </c>
      <c r="AQ31" s="65">
        <f t="shared" si="30"/>
        <v>0.10715930527985304</v>
      </c>
      <c r="AR31" s="66">
        <f t="shared" si="31"/>
        <v>5328.2262484078583</v>
      </c>
      <c r="AS31" s="58">
        <f t="shared" si="32"/>
        <v>55.025555938946489</v>
      </c>
      <c r="AT31" s="58">
        <f t="shared" ref="AT31" si="124">IF(ISERROR(AS31-AA31),"",AS31-AA31)</f>
        <v>2.7255559389464921</v>
      </c>
      <c r="AU31" s="64">
        <f t="shared" si="34"/>
        <v>15.226248407858572</v>
      </c>
      <c r="AV31" s="58">
        <f t="shared" si="35"/>
        <v>3.4022664250648353</v>
      </c>
      <c r="AW31" s="64">
        <f t="shared" si="36"/>
        <v>15.803551455713437</v>
      </c>
    </row>
    <row r="32" spans="1:51" s="53" customFormat="1" x14ac:dyDescent="0.15">
      <c r="A32" s="71" t="s">
        <v>122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4"/>
      <c r="AB32" s="44"/>
      <c r="AC32" s="45"/>
      <c r="AD32" s="43"/>
      <c r="AE32" s="46"/>
      <c r="AF32" s="47"/>
      <c r="AG32" s="48"/>
      <c r="AH32" s="44"/>
      <c r="AI32" s="49"/>
      <c r="AJ32" s="50"/>
      <c r="AK32" s="48"/>
      <c r="AL32" s="51"/>
      <c r="AM32" s="51"/>
      <c r="AN32" s="51"/>
      <c r="AO32" s="51"/>
      <c r="AP32" s="51"/>
      <c r="AQ32" s="51"/>
      <c r="AR32" s="52"/>
      <c r="AS32" s="44"/>
      <c r="AT32" s="44"/>
      <c r="AU32" s="50"/>
      <c r="AV32" s="44"/>
      <c r="AW32" s="50"/>
    </row>
    <row r="33" spans="1:49" s="42" customFormat="1" x14ac:dyDescent="0.15">
      <c r="A33" s="56">
        <v>13</v>
      </c>
      <c r="B33" s="57">
        <v>147</v>
      </c>
      <c r="C33" s="57">
        <v>360</v>
      </c>
      <c r="D33" s="57">
        <v>167</v>
      </c>
      <c r="E33" s="57">
        <v>270</v>
      </c>
      <c r="F33" s="57">
        <v>158</v>
      </c>
      <c r="G33" s="57">
        <v>90</v>
      </c>
      <c r="H33" s="57">
        <f t="shared" ref="H33" si="125">B33*SIN(PI()*(360-C33)/180)</f>
        <v>0</v>
      </c>
      <c r="I33" s="57">
        <f t="shared" ref="I33" si="126">B33*COS(PI()*(360-C33)/180)</f>
        <v>147</v>
      </c>
      <c r="J33" s="57">
        <f t="shared" ref="J33" si="127">D33*SIN(PI()*(360-E33)/180)</f>
        <v>167</v>
      </c>
      <c r="K33" s="57">
        <f t="shared" ref="K33" si="128">D33*COS(PI()*(360-E33)/180)</f>
        <v>1.0229989598486977E-14</v>
      </c>
      <c r="L33" s="57">
        <f t="shared" ref="L33" si="129">F33*SIN(PI()*(360-G33)/180)</f>
        <v>-158</v>
      </c>
      <c r="M33" s="57">
        <f t="shared" ref="M33" si="130">F33*COS(PI()*(360-G33)/180)</f>
        <v>-2.9036018381334294E-14</v>
      </c>
      <c r="N33" s="57">
        <f t="shared" ref="N33" si="131">-1*(J33-H33)/(K33-I33)</f>
        <v>1.1360544217687074</v>
      </c>
      <c r="O33" s="57">
        <f t="shared" ref="O33" si="132">(I33+K33)/2-N33*(H33+J33)/2</f>
        <v>-21.360544217687064</v>
      </c>
      <c r="P33" s="57">
        <f t="shared" ref="P33" si="133">-1*(L33-H33)/(M33-I33)</f>
        <v>-1.074829931972789</v>
      </c>
      <c r="Q33" s="57">
        <f t="shared" ref="Q33" si="134">(I33+M33)/2-P33*(H33+L33)/2</f>
        <v>-11.411564625850346</v>
      </c>
      <c r="R33" s="57">
        <f t="shared" ref="R33" si="135">(O33-Q33)/(P33-N33)</f>
        <v>4.499999999999992</v>
      </c>
      <c r="S33" s="57">
        <f t="shared" ref="S33" si="136">N33*R33+O33</f>
        <v>-16.248299319727892</v>
      </c>
      <c r="T33" s="57">
        <f t="shared" ref="T33" si="137">SQRT(R33^2+S33^2)</f>
        <v>16.859929738390662</v>
      </c>
      <c r="U33" s="57">
        <f t="shared" ref="U33" si="138">SQRT((H33-R33)^2+(I33-S33)^2)</f>
        <v>163.31030962797013</v>
      </c>
      <c r="V33" s="57">
        <f t="shared" ref="V33" si="139">MOD(540-(180/PI()*ATAN2(S33-I33,R33-H33)),360)</f>
        <v>1.5789795934683752</v>
      </c>
      <c r="W33" s="57">
        <f t="shared" ref="W33" si="140">MOD(540-(180/PI()*ATAN2(S33-K33,R33-J33)),360)</f>
        <v>275.70999943207471</v>
      </c>
      <c r="X33" s="57">
        <f t="shared" ref="X33" si="141">MOD(540-(180/PI()*ATAN2(S33-M33,R33-L33)),360)</f>
        <v>84.29000056792529</v>
      </c>
      <c r="Y33" s="57">
        <v>148.9</v>
      </c>
      <c r="Z33" s="57">
        <v>0</v>
      </c>
      <c r="AA33" s="58">
        <f t="shared" si="17"/>
        <v>148.9</v>
      </c>
      <c r="AB33" s="58">
        <f t="shared" ref="AB33" si="142">IF(ISERROR(AA33/factor_for_IAS),"",AA33/factor_for_IAS)</f>
        <v>148.9</v>
      </c>
      <c r="AC33" s="70">
        <v>5350</v>
      </c>
      <c r="AD33" s="57">
        <v>0</v>
      </c>
      <c r="AE33" s="60">
        <f t="shared" si="19"/>
        <v>5350</v>
      </c>
      <c r="AF33" s="61">
        <v>12.2</v>
      </c>
      <c r="AG33" s="62">
        <f t="shared" ref="AG33" si="143">U33/factor_for_GPS</f>
        <v>163.31030962797013</v>
      </c>
      <c r="AH33" s="58">
        <f t="shared" si="21"/>
        <v>163.31030962797013</v>
      </c>
      <c r="AI33" s="63">
        <f t="shared" ref="AI33" si="144">IF(ISERROR(T33/factor_for_GPS),"",T33/factor_for_GPS)</f>
        <v>16.859929738390662</v>
      </c>
      <c r="AJ33" s="64">
        <f t="shared" ref="AJ33" si="145">IF(ISERROR(MOD(540-(180/PI()*ATAN2(S33,R33)),360)),"",MOD(540-(180/PI()*ATAN2(S33,R33)),360))</f>
        <v>15.480180590513783</v>
      </c>
      <c r="AK33" s="62">
        <f t="shared" si="24"/>
        <v>282.53964623490162</v>
      </c>
      <c r="AL33" s="65">
        <f t="shared" si="25"/>
        <v>0.24932497669609829</v>
      </c>
      <c r="AM33" s="65">
        <f t="shared" si="26"/>
        <v>3.5921006508387698E-2</v>
      </c>
      <c r="AN33" s="65">
        <f t="shared" si="27"/>
        <v>4.3741734643848604E-2</v>
      </c>
      <c r="AO33" s="65">
        <f t="shared" si="28"/>
        <v>0.24806389809538709</v>
      </c>
      <c r="AP33" s="65">
        <f t="shared" si="29"/>
        <v>4.3370765606049827E-4</v>
      </c>
      <c r="AQ33" s="65">
        <f t="shared" si="30"/>
        <v>9.9151910547628577E-3</v>
      </c>
      <c r="AR33" s="66">
        <f t="shared" si="31"/>
        <v>5361.5599006187686</v>
      </c>
      <c r="AS33" s="58">
        <f t="shared" si="32"/>
        <v>149.62695238822238</v>
      </c>
      <c r="AT33" s="58">
        <f t="shared" ref="AT33" si="146">IF(ISERROR(AS33-AA33),"",AS33-AA33)</f>
        <v>0.72695238822237229</v>
      </c>
      <c r="AU33" s="64">
        <f t="shared" si="34"/>
        <v>11.559900618768125</v>
      </c>
      <c r="AV33" s="58">
        <f t="shared" si="35"/>
        <v>0.88768767659110182</v>
      </c>
      <c r="AW33" s="64">
        <f t="shared" si="36"/>
        <v>12.001362991529691</v>
      </c>
    </row>
    <row r="34" spans="1:49" s="53" customFormat="1" x14ac:dyDescent="0.15">
      <c r="A34" s="54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4"/>
      <c r="AB34" s="44"/>
      <c r="AC34" s="45"/>
      <c r="AD34" s="43"/>
      <c r="AE34" s="46"/>
      <c r="AF34" s="47"/>
      <c r="AG34" s="48"/>
      <c r="AH34" s="44"/>
      <c r="AI34" s="49"/>
      <c r="AJ34" s="50"/>
      <c r="AK34" s="48"/>
      <c r="AL34" s="51"/>
      <c r="AM34" s="51"/>
      <c r="AN34" s="51"/>
      <c r="AO34" s="51"/>
      <c r="AP34" s="51"/>
      <c r="AQ34" s="51"/>
      <c r="AR34" s="52"/>
      <c r="AS34" s="44"/>
      <c r="AT34" s="44"/>
      <c r="AU34" s="50"/>
      <c r="AV34" s="44"/>
      <c r="AW34" s="50"/>
    </row>
    <row r="35" spans="1:49" x14ac:dyDescent="0.15">
      <c r="A35" s="40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8"/>
      <c r="AB35" s="28"/>
      <c r="AC35" s="36"/>
      <c r="AD35" s="27"/>
      <c r="AE35" s="29"/>
      <c r="AF35" s="30"/>
      <c r="AG35" s="31"/>
      <c r="AH35" s="28"/>
      <c r="AI35" s="32"/>
      <c r="AJ35" s="33"/>
      <c r="AK35" s="31"/>
      <c r="AL35" s="34"/>
      <c r="AM35" s="34"/>
      <c r="AN35" s="34"/>
      <c r="AO35" s="34"/>
      <c r="AP35" s="34"/>
      <c r="AQ35" s="34"/>
      <c r="AR35" s="35"/>
      <c r="AS35" s="28"/>
      <c r="AT35" s="28"/>
      <c r="AU35" s="33"/>
      <c r="AV35" s="28"/>
      <c r="AW35" s="33"/>
    </row>
  </sheetData>
  <pageMargins left="0.75" right="0.75" top="1" bottom="1" header="0.5" footer="0.5"/>
  <pageSetup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A4" sqref="A4"/>
    </sheetView>
  </sheetViews>
  <sheetFormatPr baseColWidth="10" defaultColWidth="8.83203125" defaultRowHeight="13" x14ac:dyDescent="0.15"/>
  <cols>
    <col min="1" max="1" width="25.83203125" customWidth="1"/>
  </cols>
  <sheetData>
    <row r="1" spans="1:2" x14ac:dyDescent="0.15">
      <c r="A1" s="37" t="s">
        <v>97</v>
      </c>
    </row>
    <row r="2" spans="1:2" x14ac:dyDescent="0.15">
      <c r="A2" s="37"/>
    </row>
    <row r="3" spans="1:2" x14ac:dyDescent="0.15">
      <c r="A3" s="37" t="s">
        <v>98</v>
      </c>
    </row>
    <row r="4" spans="1:2" x14ac:dyDescent="0.15">
      <c r="A4" t="s">
        <v>99</v>
      </c>
    </row>
    <row r="5" spans="1:2" x14ac:dyDescent="0.15">
      <c r="A5" s="37"/>
    </row>
    <row r="6" spans="1:2" x14ac:dyDescent="0.15">
      <c r="A6" s="1" t="s">
        <v>1</v>
      </c>
    </row>
    <row r="7" spans="1:2" x14ac:dyDescent="0.15">
      <c r="A7" t="s">
        <v>11</v>
      </c>
      <c r="B7" t="s">
        <v>100</v>
      </c>
    </row>
    <row r="8" spans="1:2" x14ac:dyDescent="0.15">
      <c r="A8" t="s">
        <v>13</v>
      </c>
      <c r="B8" t="s">
        <v>101</v>
      </c>
    </row>
    <row r="9" spans="1:2" x14ac:dyDescent="0.15">
      <c r="A9" t="s">
        <v>16</v>
      </c>
      <c r="B9" t="s">
        <v>102</v>
      </c>
    </row>
    <row r="10" spans="1:2" x14ac:dyDescent="0.15">
      <c r="A10" s="4" t="s">
        <v>18</v>
      </c>
      <c r="B10" t="s">
        <v>103</v>
      </c>
    </row>
    <row r="11" spans="1:2" x14ac:dyDescent="0.15">
      <c r="A11" s="4" t="s">
        <v>21</v>
      </c>
      <c r="B11" t="s">
        <v>22</v>
      </c>
    </row>
    <row r="13" spans="1:2" x14ac:dyDescent="0.15">
      <c r="A13" s="1" t="s">
        <v>23</v>
      </c>
    </row>
    <row r="14" spans="1:2" x14ac:dyDescent="0.15">
      <c r="A14" t="s">
        <v>56</v>
      </c>
      <c r="B14" t="s">
        <v>104</v>
      </c>
    </row>
    <row r="15" spans="1:2" x14ac:dyDescent="0.15">
      <c r="A15" t="s">
        <v>105</v>
      </c>
      <c r="B15" t="s">
        <v>106</v>
      </c>
    </row>
    <row r="16" spans="1:2" x14ac:dyDescent="0.15">
      <c r="A16" t="s">
        <v>107</v>
      </c>
      <c r="B16" t="s">
        <v>106</v>
      </c>
    </row>
    <row r="18" spans="1:2" x14ac:dyDescent="0.15">
      <c r="A18" s="1" t="s">
        <v>24</v>
      </c>
    </row>
    <row r="19" spans="1:2" x14ac:dyDescent="0.15">
      <c r="A19" t="s">
        <v>62</v>
      </c>
      <c r="B19" t="s">
        <v>108</v>
      </c>
    </row>
    <row r="20" spans="1:2" x14ac:dyDescent="0.15">
      <c r="A20" t="s">
        <v>109</v>
      </c>
      <c r="B20" t="s">
        <v>110</v>
      </c>
    </row>
    <row r="21" spans="1:2" x14ac:dyDescent="0.15">
      <c r="A21" t="s">
        <v>111</v>
      </c>
      <c r="B21" t="s">
        <v>112</v>
      </c>
    </row>
    <row r="23" spans="1:2" x14ac:dyDescent="0.15">
      <c r="A23" t="s">
        <v>113</v>
      </c>
    </row>
    <row r="24" spans="1:2" x14ac:dyDescent="0.15">
      <c r="A24" t="s">
        <v>114</v>
      </c>
    </row>
    <row r="25" spans="1:2" x14ac:dyDescent="0.15">
      <c r="A25" t="s">
        <v>115</v>
      </c>
    </row>
    <row r="26" spans="1:2" x14ac:dyDescent="0.15">
      <c r="A26" t="s">
        <v>116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4F72-3842-1C4A-9DED-D1DDF1AEFF19}">
  <dimension ref="A1:K13"/>
  <sheetViews>
    <sheetView tabSelected="1" workbookViewId="0">
      <selection activeCell="K24" sqref="K24"/>
    </sheetView>
  </sheetViews>
  <sheetFormatPr baseColWidth="10" defaultRowHeight="13" x14ac:dyDescent="0.15"/>
  <sheetData>
    <row r="1" spans="1:11" x14ac:dyDescent="0.15">
      <c r="A1" s="39" t="s">
        <v>123</v>
      </c>
      <c r="J1" s="39" t="s">
        <v>124</v>
      </c>
    </row>
    <row r="2" spans="1:11" x14ac:dyDescent="0.15">
      <c r="A2" t="s">
        <v>56</v>
      </c>
      <c r="B2" t="s">
        <v>109</v>
      </c>
      <c r="J2" s="37" t="s">
        <v>56</v>
      </c>
      <c r="K2" s="37" t="s">
        <v>109</v>
      </c>
    </row>
    <row r="3" spans="1:11" x14ac:dyDescent="0.15">
      <c r="A3">
        <v>154.6</v>
      </c>
      <c r="B3">
        <v>155.30000000000001</v>
      </c>
      <c r="J3" s="72">
        <f>A3*1.15078</f>
        <v>177.91058799999999</v>
      </c>
      <c r="K3" s="72">
        <f>B3*1.15078</f>
        <v>178.71613400000001</v>
      </c>
    </row>
    <row r="4" spans="1:11" x14ac:dyDescent="0.15">
      <c r="A4">
        <v>145.19999999999999</v>
      </c>
      <c r="B4">
        <v>146.6</v>
      </c>
      <c r="J4" s="72">
        <f t="shared" ref="J4:J13" si="0">A4*1.15078</f>
        <v>167.09325599999997</v>
      </c>
      <c r="K4" s="72">
        <f t="shared" ref="K4:K13" si="1">B4*1.15078</f>
        <v>168.70434799999998</v>
      </c>
    </row>
    <row r="5" spans="1:11" x14ac:dyDescent="0.15">
      <c r="A5">
        <v>132.19999999999999</v>
      </c>
      <c r="B5">
        <v>133.30000000000001</v>
      </c>
      <c r="J5" s="72">
        <f t="shared" si="0"/>
        <v>152.13311599999997</v>
      </c>
      <c r="K5" s="72">
        <f t="shared" si="1"/>
        <v>153.39897400000001</v>
      </c>
    </row>
    <row r="6" spans="1:11" x14ac:dyDescent="0.15">
      <c r="A6">
        <v>125.1</v>
      </c>
      <c r="B6">
        <v>125.7</v>
      </c>
      <c r="J6" s="72">
        <f t="shared" si="0"/>
        <v>143.96257799999998</v>
      </c>
      <c r="K6" s="72">
        <f t="shared" si="1"/>
        <v>144.65304599999999</v>
      </c>
    </row>
    <row r="7" spans="1:11" x14ac:dyDescent="0.15">
      <c r="A7">
        <v>116.5</v>
      </c>
      <c r="B7">
        <v>117.3</v>
      </c>
      <c r="J7" s="72">
        <f t="shared" si="0"/>
        <v>134.06586999999999</v>
      </c>
      <c r="K7" s="72">
        <f t="shared" si="1"/>
        <v>134.98649399999999</v>
      </c>
    </row>
    <row r="8" spans="1:11" x14ac:dyDescent="0.15">
      <c r="A8">
        <v>105.8</v>
      </c>
      <c r="B8">
        <v>107.6</v>
      </c>
      <c r="J8" s="72">
        <f t="shared" si="0"/>
        <v>121.75252399999999</v>
      </c>
      <c r="K8" s="72">
        <f t="shared" si="1"/>
        <v>123.82392799999998</v>
      </c>
    </row>
    <row r="9" spans="1:11" x14ac:dyDescent="0.15">
      <c r="A9">
        <v>92.3</v>
      </c>
      <c r="B9">
        <v>94</v>
      </c>
      <c r="J9" s="72">
        <f t="shared" si="0"/>
        <v>106.21699399999999</v>
      </c>
      <c r="K9" s="72">
        <f t="shared" si="1"/>
        <v>108.17331999999999</v>
      </c>
    </row>
    <row r="10" spans="1:11" x14ac:dyDescent="0.15">
      <c r="A10">
        <v>75.3</v>
      </c>
      <c r="B10">
        <v>78.099999999999994</v>
      </c>
      <c r="J10" s="72">
        <f t="shared" si="0"/>
        <v>86.653733999999986</v>
      </c>
      <c r="K10" s="72">
        <f t="shared" si="1"/>
        <v>89.875917999999984</v>
      </c>
    </row>
    <row r="11" spans="1:11" x14ac:dyDescent="0.15">
      <c r="A11">
        <v>62.3</v>
      </c>
      <c r="B11">
        <v>65.5</v>
      </c>
      <c r="J11" s="72">
        <f t="shared" si="0"/>
        <v>71.69359399999999</v>
      </c>
      <c r="K11" s="72">
        <f t="shared" si="1"/>
        <v>75.376089999999991</v>
      </c>
    </row>
    <row r="12" spans="1:11" x14ac:dyDescent="0.15">
      <c r="A12">
        <v>56.2</v>
      </c>
      <c r="B12">
        <v>59</v>
      </c>
      <c r="J12" s="72">
        <f t="shared" si="0"/>
        <v>64.673835999999994</v>
      </c>
      <c r="K12" s="72">
        <f t="shared" si="1"/>
        <v>67.896019999999993</v>
      </c>
    </row>
    <row r="13" spans="1:11" x14ac:dyDescent="0.15">
      <c r="A13">
        <v>52.3</v>
      </c>
      <c r="B13">
        <v>55</v>
      </c>
      <c r="J13" s="72">
        <f t="shared" si="0"/>
        <v>60.185793999999994</v>
      </c>
      <c r="K13" s="72">
        <f t="shared" si="1"/>
        <v>63.292899999999996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26</vt:i4>
      </vt:variant>
    </vt:vector>
  </HeadingPairs>
  <TitlesOfParts>
    <vt:vector size="29" baseType="lpstr">
      <vt:lpstr>Template</vt:lpstr>
      <vt:lpstr>Notes</vt:lpstr>
      <vt:lpstr>CAS Curve</vt:lpstr>
      <vt:lpstr>as0</vt:lpstr>
      <vt:lpstr>dHic</vt:lpstr>
      <vt:lpstr>dHpc</vt:lpstr>
      <vt:lpstr>dPp_over_Ps</vt:lpstr>
      <vt:lpstr>dVic</vt:lpstr>
      <vt:lpstr>factor_for_GPS</vt:lpstr>
      <vt:lpstr>factor_for_IAS</vt:lpstr>
      <vt:lpstr>GPS_units</vt:lpstr>
      <vt:lpstr>H_std_altitude</vt:lpstr>
      <vt:lpstr>Hc</vt:lpstr>
      <vt:lpstr>Hi</vt:lpstr>
      <vt:lpstr>Hic</vt:lpstr>
      <vt:lpstr>IAS_units</vt:lpstr>
      <vt:lpstr>K</vt:lpstr>
      <vt:lpstr>M</vt:lpstr>
      <vt:lpstr>Mic</vt:lpstr>
      <vt:lpstr>P_0</vt:lpstr>
      <vt:lpstr>qcic_over_Ps</vt:lpstr>
      <vt:lpstr>qcic_over_Psl</vt:lpstr>
      <vt:lpstr>T_0</vt:lpstr>
      <vt:lpstr>Ta</vt:lpstr>
      <vt:lpstr>temp_units</vt:lpstr>
      <vt:lpstr>Ti</vt:lpstr>
      <vt:lpstr>Vi</vt:lpstr>
      <vt:lpstr>Vic</vt:lpstr>
      <vt:lpstr>Vt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Horton</dc:creator>
  <cp:lastModifiedBy>Michael Vaccaro</cp:lastModifiedBy>
  <cp:lastPrinted>2020-02-09T01:13:18Z</cp:lastPrinted>
  <dcterms:created xsi:type="dcterms:W3CDTF">2004-02-08T12:38:04Z</dcterms:created>
  <dcterms:modified xsi:type="dcterms:W3CDTF">2021-03-25T14:02:19Z</dcterms:modified>
</cp:coreProperties>
</file>